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90" windowWidth="20540" windowHeight="1250" tabRatio="89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<sst xmlns="http://schemas.openxmlformats.org/spreadsheetml/2006/main" count="4306" uniqueCount="1002">
  <si>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</si>
  <si>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</si>
  <si>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</si>
  <si>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</si>
  <si>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</si>
  <si>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</si>
  <si>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</si>
  <si>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</si>
  <si>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</si>
  <si>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</si>
  <si>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</si>
  <si>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</si>
  <si>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</si>
  <si>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</si>
  <si>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</si>
  <si>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</si>
  <si>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</si>
  <si>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</si>
  <si>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</si>
  <si>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</si>
  <si>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</si>
  <si>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</si>
  <si>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</si>
  <si>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</si>
  <si>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</si>
  <si>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</si>
  <si>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</si>
  <si>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</si>
  <si>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</si>
  <si>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</si>
  <si>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</si>
  <si>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</si>
  <si>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</si>
  <si>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</si>
  <si>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</si>
  <si>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</si>
  <si>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</si>
  <si>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</si>
  <si>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</si>
  <si>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</si>
  <si>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</si>
  <si>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</si>
  <si>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</si>
  <si>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</si>
  <si>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</si>
  <si>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</si>
  <si>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</si>
  <si>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</si>
  <si>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</si>
  <si>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</si>
  <si>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</si>
  <si>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</si>
  <si>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</si>
  <si>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</si>
  <si>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</si>
  <si>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</si>
  <si>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</si>
  <si>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</si>
  <si>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</si>
  <si>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</si>
  <si>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</si>
  <si>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</si>
  <si>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</si>
  <si>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</si>
  <si>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</si>
  <si>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</si>
  <si>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</si>
  <si>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</si>
  <si>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</si>
  <si>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</si>
  <si>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</si>
  <si>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</si>
  <si>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</si>
  <si>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</si>
  <si>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</si>
  <si>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</si>
  <si>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</si>
  <si>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</si>
  <si>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</si>
  <si>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</si>
  <si>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</si>
  <si>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</si>
  <si>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</si>
  <si>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</si>
  <si>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</si>
  <si>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</si>
  <si>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</si>
  <si>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</si>
  <si>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</si>
  <si>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</si>
  <si>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</si>
  <si>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</si>
  <si>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</si>
  <si>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</si>
  <si>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</si>
  <si>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</si>
  <si>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</si>
  <si>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</si>
  <si>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</si>
  <si>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</si>
  <si>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</si>
  <si>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</si>
  <si>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</si>
  <si>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</si>
  <si>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</si>
  <si>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</si>
  <si>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</si>
  <si>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</si>
  <si>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</si>
  <si>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</si>
  <si>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</si>
  <si>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</si>
  <si>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</si>
  <si>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</si>
  <si>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</si>
  <si>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</si>
  <si>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</si>
  <si>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</si>
  <si>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</si>
  <si>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</si>
  <si>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</si>
  <si>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</si>
  <si>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</si>
  <si>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</si>
  <si>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</si>
  <si>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</si>
  <si>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</si>
  <si>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</si>
  <si>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</si>
  <si>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</si>
  <si>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</si>
  <si>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</si>
  <si>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</si>
  <si>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</si>
  <si>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</si>
  <si>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</si>
  <si>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</si>
  <si>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</si>
  <si>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</si>
  <si>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</si>
  <si>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</si>
  <si>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</si>
  <si>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</si>
  <si>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</si>
  <si>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</si>
  <si>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</si>
  <si>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</si>
  <si>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</si>
  <si>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</si>
  <si>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</si>
  <si>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</si>
  <si>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</si>
  <si>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</si>
  <si>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</si>
  <si>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</si>
  <si>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</si>
  <si>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</si>
  <si>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</si>
  <si>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</si>
  <si>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</si>
  <si>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</si>
  <si>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</si>
  <si>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</si>
  <si>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</si>
  <si>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</si>
  <si>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</si>
  <si>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</si>
  <si>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</si>
  <si>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</si>
  <si>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</si>
  <si>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</si>
  <si>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</si>
  <si>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</si>
  <si>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</si>
  <si>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</si>
  <si>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</si>
  <si>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</si>
  <si>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</si>
  <si>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</si>
  <si>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</si>
  <si>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</si>
  <si>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</si>
  <si>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</si>
  <si>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</si>
  <si>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</si>
  <si>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</si>
  <si>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</si>
  <si>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</si>
  <si>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</si>
  <si>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</si>
  <si>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</si>
  <si>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</si>
  <si>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</si>
  <si>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</si>
  <si>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</si>
  <si>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</si>
  <si>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</si>
  <si>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</si>
  <si>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</si>
  <si>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</si>
  <si>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</si>
  <si>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</si>
  <si>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</si>
  <si>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</si>
  <si>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</si>
  <si>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</si>
  <si>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</si>
  <si>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</si>
  <si>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</si>
  <si>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</si>
  <si>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</si>
  <si>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</si>
  <si>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</si>
  <si>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</si>
  <si>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</si>
  <si>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</si>
  <si>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</si>
  <si>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</si>
  <si>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</si>
  <si>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</si>
  <si>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</si>
  <si>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</si>
  <si>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</si>
  <si>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</si>
  <si>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</si>
  <si>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</si>
  <si>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</si>
  <si>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</si>
  <si>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</si>
  <si>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</si>
  <si>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</si>
  <si>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</si>
  <si>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</si>
  <si>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</si>
  <si>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</si>
  <si>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</si>
  <si>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</si>
  <si>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</si>
  <si>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</si>
  <si>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</si>
  <si>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</si>
  <si>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</si>
  <si>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</si>
  <si>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</si>
  <si>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</si>
  <si>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</si>
  <si>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</si>
  <si>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</si>
  <si>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</si>
  <si>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</si>
  <si>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</si>
  <si>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</si>
  <si>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</si>
  <si>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</si>
  <si>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</si>
  <si>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</si>
  <si>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</si>
  <si>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</si>
  <si>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</si>
  <si>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</si>
  <si>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</si>
  <si>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</si>
  <si>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</si>
  <si>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</si>
  <si>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</si>
  <si>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</si>
  <si>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</si>
  <si>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</si>
  <si>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</si>
  <si>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</si>
  <si>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</si>
  <si>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</si>
  <si>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</si>
  <si>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</si>
  <si>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</si>
  <si>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</si>
  <si>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</si>
  <si>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</si>
  <si>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</si>
  <si>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</si>
  <si>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</si>
  <si>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</si>
  <si>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</si>
  <si>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</si>
  <si>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</si>
  <si>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</si>
  <si>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</si>
  <si>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</si>
  <si>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</si>
  <si>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</si>
  <si>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</si>
  <si>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</si>
  <si>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</si>
  <si>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</si>
  <si>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</si>
  <si>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</si>
  <si>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</si>
  <si>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</si>
  <si>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</si>
  <si>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</si>
  <si>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</si>
  <si>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</si>
  <si>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</si>
  <si>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</si>
  <si>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</si>
  <si>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</si>
  <si>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</si>
  <si>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</si>
  <si>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</si>
  <si>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</si>
  <si>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</si>
  <si>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</si>
  <si>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</si>
  <si>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</si>
  <si>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</si>
  <si>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</si>
  <si>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</si>
  <si>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</si>
  <si>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</si>
  <si>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</si>
  <si>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</si>
  <si>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</si>
  <si>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</si>
  <si>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</si>
  <si>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</si>
  <si>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</si>
  <si>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</si>
  <si>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</si>
  <si>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</si>
  <si>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</si>
  <si>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</si>
  <si>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</si>
  <si>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</si>
  <si>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</si>
  <si>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</si>
  <si>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</si>
  <si>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</si>
  <si>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</si>
  <si>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</si>
  <si>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</si>
  <si>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</si>
  <si>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</si>
  <si>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</si>
  <si>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</si>
  <si>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</si>
  <si>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</si>
  <si>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</si>
  <si>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</si>
  <si>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</si>
  <si>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</si>
  <si>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</si>
  <si>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</si>
  <si>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</si>
  <si>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</si>
  <si>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</si>
  <si>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</si>
  <si>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</si>
  <si>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</si>
  <si>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</si>
  <si>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</si>
  <si>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</si>
  <si>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</si>
  <si>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</si>
  <si>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</si>
  <si>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</si>
  <si>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</si>
  <si>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</si>
  <si>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</si>
  <si>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</si>
  <si>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</si>
  <si>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</si>
  <si>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</si>
  <si>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</si>
  <si>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</si>
  <si>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</si>
  <si>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</si>
  <si>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</si>
  <si>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</si>
  <si>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</si>
  <si>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</si>
  <si>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</si>
  <si>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</si>
  <si>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</si>
  <si>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</si>
  <si>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</si>
  <si>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</si>
  <si>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</si>
  <si>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</si>
  <si>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</si>
  <si>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</si>
  <si>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</si>
  <si>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</si>
  <si>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</si>
  <si>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</si>
  <si>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</si>
  <si>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</si>
  <si>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</si>
  <si>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</si>
  <si>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</si>
  <si>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</si>
  <si>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</si>
  <si>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</si>
  <si>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</si>
  <si>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</si>
  <si>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</si>
  <si>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</si>
  <si>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</si>
  <si>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</si>
  <si>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</si>
  <si>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</si>
  <si>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</si>
  <si>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</si>
  <si>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</si>
  <si>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</si>
  <si>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</si>
  <si>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</si>
  <si>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</si>
  <si>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</si>
  <si>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</si>
  <si>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</si>
  <si>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</si>
  <si>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</si>
  <si>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</si>
  <si>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</si>
  <si>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</si>
  <si>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</si>
  <si>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</si>
  <si>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</si>
  <si>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</si>
  <si>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</si>
  <si>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</si>
  <si>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</si>
  <si>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</si>
  <si>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</si>
  <si>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</si>
  <si>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</si>
  <si>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</si>
  <si>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</si>
  <si>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</si>
  <si>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</si>
  <si>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</si>
  <si>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</si>
  <si>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</si>
  <si>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</si>
  <si>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</si>
  <si>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</si>
  <si>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</si>
  <si>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</si>
  <si>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</si>
  <si>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</si>
  <si>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</si>
  <si>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</si>
  <si>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</si>
  <si>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</si>
  <si>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</si>
  <si>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</si>
  <si>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</si>
  <si>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</si>
  <si>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</si>
  <si>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</si>
  <si>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</si>
  <si>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</si>
  <si>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</si>
  <si>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</si>
  <si>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</si>
  <si>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</si>
  <si>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</si>
  <si>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</si>
  <si>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</si>
  <si>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</si>
  <si>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</si>
  <si>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</si>
  <si>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</si>
  <si>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</si>
  <si>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</si>
  <si>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</si>
  <si>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</si>
  <si>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</si>
  <si>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</si>
  <si>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</si>
  <si>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</si>
  <si>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</si>
  <si>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</si>
  <si>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</si>
  <si>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</si>
  <si>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</si>
  <si>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</si>
  <si>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</si>
  <si>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</si>
  <si>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</si>
  <si>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</si>
  <si>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</si>
  <si>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</si>
  <si>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</si>
  <si>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</si>
  <si>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</si>
  <si>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</si>
  <si>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</si>
  <si>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</si>
  <si>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</si>
  <si>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</si>
  <si>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</si>
  <si>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</si>
  <si>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</si>
  <si>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</si>
  <si>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</si>
  <si>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</si>
  <si>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</si>
  <si>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</si>
  <si>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</si>
  <si>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</si>
  <si>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</si>
  <si>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</si>
  <si>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</si>
  <si>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</si>
  <si>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</si>
  <si>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</si>
  <si>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</si>
  <si>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</si>
  <si>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</si>
  <si>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</si>
  <si>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</si>
  <si>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</si>
  <si>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</si>
  <si>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</si>
  <si>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</si>
  <si>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</si>
  <si>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</si>
  <si>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</si>
  <si>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</si>
  <si>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</si>
  <si>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</si>
  <si>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</si>
  <si>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</si>
  <si>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</si>
  <si>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</si>
  <si>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</si>
  <si>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</si>
  <si>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</si>
  <si>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</si>
  <si>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</si>
  <si>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</si>
  <si>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</si>
  <si>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</si>
  <si>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</si>
  <si>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</si>
  <si>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</si>
  <si>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</si>
  <si>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</si>
  <si>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</si>
  <si>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</si>
  <si>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</si>
  <si>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</si>
  <si>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</si>
  <si>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</si>
  <si>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</si>
  <si>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</si>
  <si>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</si>
  <si>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</si>
  <si>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</si>
  <si>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</si>
  <si>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</si>
  <si>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</si>
  <si>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</si>
  <si>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</si>
  <si>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</si>
  <si>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</si>
  <si>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</si>
  <si>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</si>
  <si>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</si>
  <si>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</si>
  <si>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</si>
  <si>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</si>
  <si>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</si>
  <si>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</si>
  <si>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</si>
  <si>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</si>
  <si>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</si>
  <si>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</si>
  <si>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</si>
  <si>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</si>
  <si>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</si>
  <si>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</si>
  <si>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</si>
  <si>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</si>
  <si>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</si>
  <si>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</si>
  <si>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</si>
  <si>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</si>
  <si>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</si>
  <si>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</si>
  <si>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</si>
  <si>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</si>
  <si>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</si>
  <si>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</si>
  <si>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</si>
  <si>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</si>
  <si>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</si>
  <si>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</si>
  <si>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</si>
  <si>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</si>
  <si>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</si>
  <si>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</si>
  <si>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</si>
  <si>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</si>
  <si>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</si>
  <si>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</si>
  <si>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</si>
  <si>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</si>
  <si>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</si>
  <si>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</si>
  <si>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</si>
  <si>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</si>
  <si>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</si>
  <si>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</si>
  <si>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</si>
  <si>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</si>
  <si>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</si>
  <si>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</si>
  <si>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</si>
  <si>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</si>
  <si>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</si>
  <si>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</si>
  <si>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</si>
  <si>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</si>
  <si>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</si>
  <si>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</si>
  <si>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</si>
  <si>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</si>
  <si>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</si>
  <si>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</si>
  <si>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</si>
  <si>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</si>
  <si>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</si>
  <si>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</si>
  <si>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</si>
  <si>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</si>
  <si>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</si>
  <si>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</si>
  <si>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</si>
  <si>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</si>
  <si>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</si>
  <si>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</si>
  <si>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</si>
  <si>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</si>
  <si>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</si>
  <si>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</si>
  <si>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</si>
  <si>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</si>
  <si>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</si>
  <si>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</si>
  <si>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</si>
  <si>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</si>
  <si>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</si>
  <si>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</si>
  <si>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</si>
  <si>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</si>
  <si>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</si>
  <si>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</si>
  <si>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</si>
  <si>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</si>
  <si>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</si>
  <si>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</si>
  <si>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</si>
  <si>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</si>
  <si>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</si>
  <si>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</si>
  <si>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</si>
  <si>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</si>
  <si>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</si>
  <si>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</si>
  <si>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</si>
  <si>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</si>
  <si>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</si>
  <si>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</si>
  <si>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</si>
  <si>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</si>
  <si>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</si>
  <si>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</si>
  <si>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</si>
  <si>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</si>
  <si>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</si>
  <si>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</si>
  <si>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</si>
  <si>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</si>
  <si>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</si>
  <si>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</si>
  <si>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</si>
  <si>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</si>
  <si>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</si>
  <si>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</si>
  <si>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</si>
  <si>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</si>
  <si>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</si>
  <si>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</si>
  <si>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</si>
  <si>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</si>
  <si>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</si>
  <si>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</si>
  <si>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</si>
  <si>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</si>
  <si>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</si>
  <si>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</si>
  <si>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</si>
  <si>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</si>
  <si>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</si>
  <si>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</si>
  <si>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</si>
  <si>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</si>
  <si>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</si>
  <si>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</si>
  <si>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</si>
  <si>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</si>
  <si>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</si>
  <si>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</si>
  <si>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</si>
  <si>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</si>
  <si>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</si>
  <si>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</si>
  <si>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</si>
  <si>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</si>
  <si>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</si>
  <si>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</si>
  <si>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</si>
  <si>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</si>
  <si>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</si>
  <si>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</si>
  <si>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</si>
  <si>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</si>
  <si>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</si>
  <si>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</si>
  <si>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</si>
  <si>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</si>
  <si>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</si>
  <si>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</si>
  <si>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</si>
  <si>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</si>
  <si>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</si>
  <si>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</si>
  <si>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</si>
  <si>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</si>
  <si>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</si>
  <si>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</si>
  <si>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</si>
  <si>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</si>
  <si>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</si>
  <si>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</si>
  <si>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</si>
  <si>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</si>
  <si>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</si>
  <si>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</si>
  <si>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</si>
  <si>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</si>
  <si>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</si>
  <si>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</si>
  <si>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</si>
  <si>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</si>
  <si>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</si>
  <si>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</si>
  <si>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</si>
  <si>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</si>
  <si>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</si>
  <si>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</si>
  <si>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</si>
  <si>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</si>
  <si>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</si>
  <si>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</si>
  <si>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</si>
  <si>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</si>
  <si>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</si>
  <si>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</si>
  <si>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</si>
  <si>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</si>
  <si>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</si>
  <si>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</si>
  <si>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</si>
  <si>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</si>
  <si>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</si>
  <si>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</si>
  <si>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</si>
  <si>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</si>
  <si>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</si>
  <si>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</si>
  <si>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</si>
  <si>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</si>
  <si>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</si>
  <si>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</si>
  <si>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</si>
  <si>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</si>
  <si>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</si>
  <si>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</si>
  <si>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</si>
  <si>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</si>
  <si>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</si>
  <si>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</si>
  <si>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</si>
  <si>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</si>
  <si>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</si>
  <si>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</si>
  <si>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</si>
  <si>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</si>
  <si>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</si>
  <si>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</si>
  <si>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</si>
  <si>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</si>
  <si>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</si>
  <si>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</si>
  <si>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</si>
  <si>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</si>
  <si>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</si>
  <si>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</si>
  <si>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</si>
  <si>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</si>
  <si>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</si>
  <si>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</si>
  <si>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</si>
  <si>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</si>
  <si>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</si>
  <si>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</si>
  <si>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</si>
  <si>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</si>
  <si>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</si>
  <si>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</si>
  <si>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</si>
  <si>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</si>
  <si>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</si>
  <si>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</si>
  <si>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</si>
  <si>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</si>
  <si>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</si>
  <si>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</si>
  <si>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</si>
  <si>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</si>
  <si>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</si>
  <si>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</si>
  <si>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</si>
  <si>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</si>
  <si>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</si>
  <si>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</si>
  <si>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</si>
  <si>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</si>
  <si>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</si>
  <si>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</si>
  <si>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</si>
  <si>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</si>
  <si>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</si>
  <si>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</si>
  <si>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</si>
  <si>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</si>
  <si>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</si>
  <si>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</si>
  <si>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</si>
  <si>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</si>
  <si>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</si>
  <si>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</si>
  <si>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</si>
  <si>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</si>
  <si>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</si>
  <si>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</si>
  <si>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</si>
  <si>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</si>
  <si>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</si>
  <si>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</si>
  <si>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</si>
  <si>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</si>
  <si>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</si>
  <si>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</si>
  <si>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</si>
  <si>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</si>
  <si>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</si>
  <si>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</si>
  <si>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</si>
  <si>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</si>
  <si>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</si>
  <si>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</si>
  <si>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</si>
  <si>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</si>
  <si>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</si>
  <si>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</si>
  <si>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</si>
  <si>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</si>
  <si>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</si>
  <si>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</si>
  <si>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</si>
  <si>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</si>
  <si>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</si>
  <si>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</si>
  <si>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</si>
  <si>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</si>
  <si>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</si>
  <si>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</si>
  <si>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</si>
  <si>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</si>
  <si>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</si>
  <si>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</si>
  <si>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</si>
  <si>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</si>
  <si>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</si>
  <si>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</si>
  <si>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</si>
  <si>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</si>
  <si>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</si>
  <si>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</si>
  <si>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</si>
  <si>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</si>
  <si>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</si>
  <si>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</si>
  <si>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</si>
  <si>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</si>
  <si>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</si>
  <si>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</si>
  <si>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</si>
  <si>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</si>
  <si>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</si>
  <si>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</si>
  <si>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</si>
  <si>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</si>
  <si>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</si>
  <si>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</si>
  <si>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</si>
  <si>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</si>
  <si>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</si>
  <si>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</si>
  <si>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</si>
  <si>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</si>
  <si>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</si>
  <si>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</si>
  <si>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</si>
  <si>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</si>
  <si>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</si>
  <si>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</si>
  <si>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</si>
  <si>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</si>
  <si>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</si>
  <si>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</si>
  <si>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</si>
  <si>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</si>
  <si>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</si>
  <si>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</si>
  <si>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</si>
  <si>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</si>
  <si>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</si>
  <si>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</si>
  <si>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</si>
  <si>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</si>
  <si>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</si>
  <si>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</si>
  <si>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</si>
  <si>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</si>
  <si>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</si>
  <si>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</si>
  <si>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</si>
  <si>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</si>
  <si>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</si>
  <si>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</si>
  <si>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</si>
  <si>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</si>
  <si>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</si>
  <si>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</si>
  <si>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</si>
  <si>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</si>
  <si>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</si>
  <si>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</si>
  <si>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</si>
  <si>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</si>
  <si>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</si>
  <si>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</si>
  <si>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</si>
  <si>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</si>
  <si>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</si>
  <si>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</si>
  <si>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</si>
  <si>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</si>
  <si>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</si>
  <si>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</si>
  <si>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</si>
  <si>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</si>
  <si>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</si>
  <si>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</si>
  <si>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</si>
  <si>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</si>
  <si>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</si>
  <si>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</si>
  <si>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</si>
  <si>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</si>
  <si>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</si>
  <si>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</si>
  <si>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</si>
  <si>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</si>
  <si>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</si>
  <si>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</si>
  <si>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</si>
  <si>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</si>
  <si>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</si>
  <si>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</si>
  <si>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</si>
  <si>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</si>
  <si>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</si>
  <si>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</si>
  <si>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</si>
  <si>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</si>
  <si>
    <t>Васил Борисов Тренев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</si>
</sst>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Interim_Cash%20flow%2006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annual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FO_SV_2018_sepata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SEPARATE\Trial%20Balance_0619_inter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Trial%20Balance_Y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KFN\SEPARATE\FO_SV_2019_sepata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_Y2020_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SEPARATE\FO_SV_062019_sepat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Q12">
            <v>102498</v>
          </cell>
        </row>
        <row r="14">
          <cell r="Q14">
            <v>-18862</v>
          </cell>
        </row>
        <row r="15">
          <cell r="Q15">
            <v>-1416</v>
          </cell>
        </row>
        <row r="16">
          <cell r="Q16">
            <v>-11188</v>
          </cell>
        </row>
        <row r="17">
          <cell r="Q17">
            <v>-1005</v>
          </cell>
        </row>
        <row r="18">
          <cell r="Q18">
            <v>-1496</v>
          </cell>
        </row>
        <row r="19">
          <cell r="Q19">
            <v>-1216</v>
          </cell>
        </row>
        <row r="20">
          <cell r="Q20">
            <v>-132</v>
          </cell>
        </row>
        <row r="21">
          <cell r="Q21">
            <v>-3468</v>
          </cell>
        </row>
        <row r="22">
          <cell r="Q22">
            <v>-3457.631373333332</v>
          </cell>
        </row>
        <row r="30">
          <cell r="Q30">
            <v>-14542.018989999999</v>
          </cell>
        </row>
        <row r="34">
          <cell r="Q34">
            <v>-18993</v>
          </cell>
        </row>
        <row r="36">
          <cell r="Q36">
            <v>-2156</v>
          </cell>
        </row>
        <row r="37">
          <cell r="Q37">
            <v>-10261</v>
          </cell>
        </row>
        <row r="38">
          <cell r="Q38">
            <v>-348</v>
          </cell>
        </row>
        <row r="41">
          <cell r="Q41">
            <v>-286.3312</v>
          </cell>
        </row>
        <row r="47">
          <cell r="Q47">
            <v>-457.5096600000001</v>
          </cell>
        </row>
        <row r="49">
          <cell r="Q49">
            <v>-12431.959910000001</v>
          </cell>
        </row>
        <row r="56">
          <cell r="Q56">
            <v>50780.54886666667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CF"/>
      <sheetName val="ContractLiab"/>
      <sheetName val="accrual revenue"/>
      <sheetName val="NoteP&amp;L"/>
      <sheetName val="NoteBS"/>
      <sheetName val="FInst, loans"/>
      <sheetName val="loans_short_long"/>
      <sheetName val="loans"/>
      <sheetName val="WP_2019_Jun"/>
      <sheetName val="PPE note"/>
      <sheetName val="IA note"/>
      <sheetName val="gr50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  <sheetDataSet>
      <sheetData sheetId="6">
        <row r="19">
          <cell r="W1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divident_ogran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19_Dec"/>
      <sheetName val="PPE note IFRS16"/>
      <sheetName val="PPE note"/>
      <sheetName val="IA note"/>
      <sheetName val="50"/>
      <sheetName val="40113"/>
      <sheetName val="49912"/>
      <sheetName val="49911,40"/>
      <sheetName val="49909"/>
      <sheetName val="GBP"/>
      <sheetName val="USD"/>
      <sheetName val="613"/>
      <sheetName val="14,18"/>
      <sheetName val="159_2005-2010"/>
      <sheetName val="VIK"/>
      <sheetName val="VEV"/>
      <sheetName val="VES"/>
      <sheetName val="VEB"/>
      <sheetName val="VSB"/>
      <sheetName val="SADE"/>
      <sheetName val="wise"/>
      <sheetName val="ZONA 2"/>
      <sheetName val="OKUBRATOVO1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6">
        <row r="11">
          <cell r="W11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655</v>
          </cell>
          <cell r="G13">
            <v>8884</v>
          </cell>
        </row>
        <row r="14">
          <cell r="C14">
            <v>10787</v>
          </cell>
        </row>
        <row r="15">
          <cell r="C15">
            <v>0</v>
          </cell>
        </row>
        <row r="16">
          <cell r="C16">
            <v>7985</v>
          </cell>
        </row>
        <row r="17">
          <cell r="C17">
            <v>0</v>
          </cell>
        </row>
        <row r="19">
          <cell r="C19">
            <v>812.3131500000009</v>
          </cell>
        </row>
        <row r="21">
          <cell r="G21">
            <v>-469</v>
          </cell>
        </row>
        <row r="23">
          <cell r="G23">
            <v>10774</v>
          </cell>
        </row>
        <row r="25">
          <cell r="C25">
            <v>4196.759410000002</v>
          </cell>
        </row>
        <row r="26">
          <cell r="C26">
            <v>3.017440000003262</v>
          </cell>
        </row>
        <row r="27">
          <cell r="C27">
            <v>277016.79884000006</v>
          </cell>
        </row>
        <row r="29">
          <cell r="G29">
            <v>238393</v>
          </cell>
        </row>
        <row r="32">
          <cell r="G32">
            <v>36475.41344999999</v>
          </cell>
        </row>
        <row r="36">
          <cell r="C36">
            <v>5</v>
          </cell>
        </row>
        <row r="45">
          <cell r="G45">
            <v>23133</v>
          </cell>
        </row>
        <row r="49">
          <cell r="G49">
            <v>8003</v>
          </cell>
        </row>
        <row r="51">
          <cell r="C51">
            <v>174.5939099999999</v>
          </cell>
        </row>
        <row r="55">
          <cell r="C55">
            <v>8907</v>
          </cell>
        </row>
        <row r="59">
          <cell r="C59">
            <v>2344</v>
          </cell>
          <cell r="G59">
            <v>23539</v>
          </cell>
        </row>
        <row r="62">
          <cell r="G62">
            <v>3653</v>
          </cell>
        </row>
        <row r="64">
          <cell r="G64">
            <v>32130</v>
          </cell>
        </row>
        <row r="66">
          <cell r="G66">
            <v>5530</v>
          </cell>
        </row>
        <row r="67">
          <cell r="G67">
            <v>951</v>
          </cell>
        </row>
        <row r="68">
          <cell r="C68">
            <v>85</v>
          </cell>
          <cell r="G68">
            <v>2129</v>
          </cell>
        </row>
        <row r="69">
          <cell r="C69">
            <v>38728</v>
          </cell>
          <cell r="G69">
            <v>6185</v>
          </cell>
        </row>
        <row r="70">
          <cell r="G70">
            <v>2573</v>
          </cell>
        </row>
        <row r="73">
          <cell r="C73">
            <v>0</v>
          </cell>
        </row>
        <row r="88">
          <cell r="C88">
            <v>46</v>
          </cell>
        </row>
        <row r="89">
          <cell r="C89">
            <v>49952.93025</v>
          </cell>
        </row>
        <row r="95">
          <cell r="C95">
            <v>401883.0998500001</v>
          </cell>
          <cell r="G95">
            <v>401883.41345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Sheet1"/>
      <sheetName val="PL_KPMG"/>
      <sheetName val="Adj and reclassifications"/>
      <sheetName val="BS_KPMG"/>
      <sheetName val="SCE"/>
      <sheetName val="NoteP&amp;L"/>
      <sheetName val="NoteBS"/>
      <sheetName val="divident_ogran"/>
      <sheetName val="Revenue note_KPMG Format"/>
      <sheetName val="22"/>
      <sheetName val="406"/>
      <sheetName val="FInst, loans"/>
      <sheetName val=" sensitivity"/>
      <sheetName val="CF_KPMG"/>
      <sheetName val="Cash Flow 2011"/>
      <sheetName val="CF"/>
      <sheetName val="WP_2020_Jun"/>
      <sheetName val="PPE note IFRS16"/>
      <sheetName val="PPE note"/>
      <sheetName val="IA note"/>
      <sheetName val="50"/>
      <sheetName val="49912"/>
      <sheetName val="49911,40"/>
      <sheetName val="49909"/>
      <sheetName val="GBP"/>
      <sheetName val="USD"/>
      <sheetName val="613"/>
      <sheetName val="14,18"/>
      <sheetName val="159_2005-2010"/>
      <sheetName val="wise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2">
        <row r="518">
          <cell r="L518">
            <v>-16000</v>
          </cell>
        </row>
        <row r="522">
          <cell r="L522">
            <v>0</v>
          </cell>
        </row>
      </sheetData>
      <sheetData sheetId="3">
        <row r="19">
          <cell r="G19">
            <v>1088930.25</v>
          </cell>
          <cell r="AO19">
            <v>95639.17000000004</v>
          </cell>
        </row>
        <row r="113">
          <cell r="F113">
            <v>2809170.5687329443</v>
          </cell>
        </row>
        <row r="115">
          <cell r="F115">
            <v>-727020.4539993793</v>
          </cell>
        </row>
      </sheetData>
      <sheetData sheetId="5">
        <row r="5">
          <cell r="AK5">
            <v>91580</v>
          </cell>
          <cell r="AL5">
            <v>87971</v>
          </cell>
        </row>
        <row r="6">
          <cell r="AK6">
            <v>526</v>
          </cell>
          <cell r="AL6">
            <v>1070</v>
          </cell>
        </row>
        <row r="7">
          <cell r="AK7">
            <v>13156</v>
          </cell>
          <cell r="AL7">
            <v>16758</v>
          </cell>
        </row>
        <row r="10">
          <cell r="AK10">
            <v>-6630</v>
          </cell>
          <cell r="AL10">
            <v>-6429</v>
          </cell>
        </row>
        <row r="11">
          <cell r="AK11">
            <v>-22420</v>
          </cell>
          <cell r="AL11">
            <v>-27300</v>
          </cell>
        </row>
        <row r="12">
          <cell r="AK12">
            <v>-27916</v>
          </cell>
          <cell r="AL12">
            <v>-22953</v>
          </cell>
        </row>
        <row r="13">
          <cell r="AK13">
            <v>-14376</v>
          </cell>
          <cell r="AL13">
            <v>-13876</v>
          </cell>
        </row>
        <row r="14">
          <cell r="AK14">
            <v>-3667</v>
          </cell>
          <cell r="AL14">
            <v>-3548</v>
          </cell>
        </row>
        <row r="15">
          <cell r="AK15">
            <v>-6329</v>
          </cell>
          <cell r="AL15">
            <v>-5326</v>
          </cell>
        </row>
        <row r="16">
          <cell r="AK16">
            <v>-2486</v>
          </cell>
          <cell r="AL16">
            <v>-2146</v>
          </cell>
        </row>
      </sheetData>
      <sheetData sheetId="7">
        <row r="12">
          <cell r="W12">
            <v>9634</v>
          </cell>
        </row>
        <row r="17">
          <cell r="W17">
            <v>5107</v>
          </cell>
        </row>
        <row r="19">
          <cell r="W19">
            <v>30543</v>
          </cell>
        </row>
        <row r="20">
          <cell r="W20">
            <v>11033</v>
          </cell>
        </row>
        <row r="21">
          <cell r="W21">
            <v>1684</v>
          </cell>
        </row>
        <row r="25">
          <cell r="W25">
            <v>397668</v>
          </cell>
        </row>
        <row r="29">
          <cell r="W29">
            <v>8884</v>
          </cell>
        </row>
        <row r="30">
          <cell r="W30">
            <v>10774</v>
          </cell>
        </row>
        <row r="34">
          <cell r="P34">
            <v>-469</v>
          </cell>
        </row>
        <row r="36">
          <cell r="W36">
            <v>14929</v>
          </cell>
        </row>
        <row r="37">
          <cell r="W37">
            <v>1025</v>
          </cell>
        </row>
        <row r="38">
          <cell r="W38">
            <v>1567</v>
          </cell>
        </row>
        <row r="40">
          <cell r="W40">
            <v>6789</v>
          </cell>
        </row>
        <row r="44">
          <cell r="W44">
            <v>17326</v>
          </cell>
        </row>
        <row r="45">
          <cell r="W45">
            <v>952</v>
          </cell>
        </row>
        <row r="47">
          <cell r="W47">
            <v>5930</v>
          </cell>
        </row>
        <row r="48">
          <cell r="W48">
            <v>1101</v>
          </cell>
        </row>
        <row r="49">
          <cell r="W49">
            <v>4527</v>
          </cell>
        </row>
        <row r="51">
          <cell r="W51">
            <v>2546</v>
          </cell>
        </row>
        <row r="52">
          <cell r="W52">
            <v>864</v>
          </cell>
        </row>
        <row r="57">
          <cell r="W57">
            <v>397668</v>
          </cell>
        </row>
      </sheetData>
      <sheetData sheetId="9">
        <row r="81">
          <cell r="C81">
            <v>1089.99</v>
          </cell>
        </row>
        <row r="83">
          <cell r="C83">
            <v>0</v>
          </cell>
        </row>
        <row r="85">
          <cell r="C85">
            <v>222.97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-392231.87</v>
          </cell>
        </row>
        <row r="91">
          <cell r="C91">
            <v>-11289.800000000001</v>
          </cell>
        </row>
        <row r="92">
          <cell r="C92">
            <v>-10389.5</v>
          </cell>
        </row>
        <row r="93">
          <cell r="C93">
            <v>0</v>
          </cell>
        </row>
        <row r="94">
          <cell r="C94">
            <v>-5320.644896069076</v>
          </cell>
        </row>
        <row r="95">
          <cell r="C95">
            <v>-63592.55</v>
          </cell>
        </row>
        <row r="96">
          <cell r="C96">
            <v>-2961.54</v>
          </cell>
        </row>
      </sheetData>
      <sheetData sheetId="10">
        <row r="40">
          <cell r="E40">
            <v>60</v>
          </cell>
        </row>
        <row r="43">
          <cell r="E43">
            <v>49629</v>
          </cell>
        </row>
        <row r="54">
          <cell r="E54">
            <v>11753</v>
          </cell>
        </row>
        <row r="55">
          <cell r="E55">
            <v>2696</v>
          </cell>
        </row>
        <row r="56">
          <cell r="E56">
            <v>4841</v>
          </cell>
        </row>
        <row r="57">
          <cell r="E57">
            <v>5</v>
          </cell>
        </row>
        <row r="59">
          <cell r="G59">
            <v>808.5380488202</v>
          </cell>
        </row>
        <row r="62">
          <cell r="E62">
            <v>927</v>
          </cell>
        </row>
        <row r="63">
          <cell r="G63">
            <v>1101</v>
          </cell>
        </row>
        <row r="64">
          <cell r="E64">
            <v>1359.91031</v>
          </cell>
        </row>
        <row r="65">
          <cell r="E65">
            <v>2232.56723</v>
          </cell>
        </row>
        <row r="66">
          <cell r="E66">
            <v>285.9731</v>
          </cell>
        </row>
        <row r="67">
          <cell r="E67">
            <v>1173</v>
          </cell>
        </row>
        <row r="107">
          <cell r="C107">
            <v>1104.3416200000001</v>
          </cell>
        </row>
        <row r="108">
          <cell r="C108">
            <v>379</v>
          </cell>
          <cell r="D108">
            <v>42</v>
          </cell>
          <cell r="E108">
            <v>-10</v>
          </cell>
          <cell r="F108">
            <v>-58</v>
          </cell>
        </row>
        <row r="109">
          <cell r="C109">
            <v>1089</v>
          </cell>
          <cell r="D109">
            <v>0</v>
          </cell>
        </row>
      </sheetData>
      <sheetData sheetId="36">
        <row r="39">
          <cell r="G39">
            <v>17325746.456234362</v>
          </cell>
        </row>
        <row r="43">
          <cell r="G43">
            <v>32253356.22766557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21">
          <cell r="C21">
            <v>31.89366</v>
          </cell>
        </row>
        <row r="22">
          <cell r="G22">
            <v>4</v>
          </cell>
        </row>
        <row r="25">
          <cell r="C25">
            <v>702</v>
          </cell>
          <cell r="G25">
            <v>0</v>
          </cell>
        </row>
        <row r="26">
          <cell r="G26">
            <v>0</v>
          </cell>
        </row>
        <row r="27">
          <cell r="C27">
            <v>3</v>
          </cell>
        </row>
        <row r="28">
          <cell r="C28">
            <v>34</v>
          </cell>
        </row>
        <row r="39">
          <cell r="C39">
            <v>3438.4043639877113</v>
          </cell>
        </row>
        <row r="40">
          <cell r="C40">
            <v>-296.2504926855309</v>
          </cell>
        </row>
      </sheetData>
      <sheetData sheetId="3">
        <row r="11">
          <cell r="C11">
            <v>98488</v>
          </cell>
        </row>
        <row r="14">
          <cell r="C14">
            <v>-17109</v>
          </cell>
        </row>
        <row r="15">
          <cell r="C15">
            <v>-9561</v>
          </cell>
        </row>
        <row r="16">
          <cell r="C16">
            <v>-2990</v>
          </cell>
        </row>
        <row r="20">
          <cell r="C20">
            <v>-33853</v>
          </cell>
        </row>
        <row r="23">
          <cell r="C23">
            <v>-15894</v>
          </cell>
        </row>
        <row r="37">
          <cell r="C37">
            <v>0</v>
          </cell>
        </row>
        <row r="38">
          <cell r="C38">
            <v>-16175</v>
          </cell>
        </row>
        <row r="39">
          <cell r="C39">
            <v>-600</v>
          </cell>
        </row>
        <row r="40">
          <cell r="C40">
            <v>-475</v>
          </cell>
        </row>
        <row r="42">
          <cell r="C42">
            <v>118</v>
          </cell>
        </row>
        <row r="45">
          <cell r="C45">
            <v>35815</v>
          </cell>
        </row>
        <row r="47">
          <cell r="C47">
            <v>37764</v>
          </cell>
        </row>
        <row r="48">
          <cell r="C48">
            <v>1088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">
      <c r="A1" s="1" t="s">
        <v>963</v>
      </c>
      <c r="B1" s="2"/>
      <c r="Z1" s="696">
        <v>1</v>
      </c>
      <c r="AA1" s="697">
        <f>IF(ISBLANK(_endDate),"",_endDate)</f>
        <v>44012</v>
      </c>
    </row>
    <row r="2" spans="1:27" ht="15">
      <c r="A2" s="684" t="s">
        <v>964</v>
      </c>
      <c r="B2" s="679"/>
      <c r="Z2" s="696">
        <v>2</v>
      </c>
      <c r="AA2" s="697">
        <f>IF(ISBLANK(_pdeReportingDate),"",_pdeReportingDate)</f>
        <v>44042</v>
      </c>
    </row>
    <row r="3" spans="1:27" ht="1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">
      <c r="A4" s="678" t="s">
        <v>965</v>
      </c>
      <c r="B4" s="679"/>
    </row>
    <row r="5" spans="1:2" ht="45">
      <c r="A5" s="682" t="s">
        <v>929</v>
      </c>
      <c r="B5" s="68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5">
        <v>43831</v>
      </c>
    </row>
    <row r="10" spans="1:2" ht="15">
      <c r="A10" s="7" t="s">
        <v>2</v>
      </c>
      <c r="B10" s="575">
        <v>44012</v>
      </c>
    </row>
    <row r="11" spans="1:2" ht="15">
      <c r="A11" s="7" t="s">
        <v>977</v>
      </c>
      <c r="B11" s="575">
        <v>44042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4" t="s">
        <v>989</v>
      </c>
    </row>
    <row r="15" spans="1:2" ht="15">
      <c r="A15" s="10" t="s">
        <v>969</v>
      </c>
      <c r="B15" s="576" t="s">
        <v>925</v>
      </c>
    </row>
    <row r="16" spans="1:2" ht="15">
      <c r="A16" s="7" t="s">
        <v>3</v>
      </c>
      <c r="B16" s="574" t="s">
        <v>990</v>
      </c>
    </row>
    <row r="17" spans="1:2" ht="15">
      <c r="A17" s="7" t="s">
        <v>920</v>
      </c>
      <c r="B17" s="574" t="s">
        <v>1001</v>
      </c>
    </row>
    <row r="18" spans="1:2" ht="15">
      <c r="A18" s="7" t="s">
        <v>919</v>
      </c>
      <c r="B18" s="574" t="s">
        <v>991</v>
      </c>
    </row>
    <row r="19" spans="1:2" ht="15">
      <c r="A19" s="7" t="s">
        <v>4</v>
      </c>
      <c r="B19" s="574" t="s">
        <v>992</v>
      </c>
    </row>
    <row r="20" spans="1:2" ht="15">
      <c r="A20" s="7" t="s">
        <v>5</v>
      </c>
      <c r="B20" s="574" t="s">
        <v>992</v>
      </c>
    </row>
    <row r="21" spans="1:2" ht="15">
      <c r="A21" s="10" t="s">
        <v>6</v>
      </c>
      <c r="B21" s="576" t="s">
        <v>993</v>
      </c>
    </row>
    <row r="22" spans="1:2" ht="15">
      <c r="A22" s="10" t="s">
        <v>917</v>
      </c>
      <c r="B22" s="576"/>
    </row>
    <row r="23" spans="1:2" ht="15">
      <c r="A23" s="10" t="s">
        <v>7</v>
      </c>
      <c r="B23" s="686" t="s">
        <v>994</v>
      </c>
    </row>
    <row r="24" spans="1:2" ht="15">
      <c r="A24" s="10" t="s">
        <v>918</v>
      </c>
      <c r="B24" s="687" t="s">
        <v>995</v>
      </c>
    </row>
    <row r="25" spans="1:2" ht="15">
      <c r="A25" s="7" t="s">
        <v>921</v>
      </c>
      <c r="B25" s="688" t="s">
        <v>996</v>
      </c>
    </row>
    <row r="26" spans="1:2" ht="15">
      <c r="A26" s="10" t="s">
        <v>970</v>
      </c>
      <c r="B26" s="576" t="s">
        <v>997</v>
      </c>
    </row>
    <row r="27" spans="1:2" ht="15">
      <c r="A27" s="10" t="s">
        <v>971</v>
      </c>
      <c r="B27" s="576" t="s">
        <v>998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">
      <c r="A3" s="660" t="str">
        <f>CONCATENATE("за периода от ",TEXT(startDate,"dd.mm.yyyy г.")," до ",TEXT(endDate,"dd.mm.yyyy г."))</f>
        <v>за периода от 01.01.2020 г. до 30.06.2020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397667.88797000016</v>
      </c>
      <c r="D6" s="672">
        <f aca="true" t="shared" si="0" ref="D6:D15">C6-E6</f>
        <v>-0.5254799998365343</v>
      </c>
      <c r="E6" s="671">
        <f>'1-Баланс'!G95</f>
        <v>397668.41345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312928.41345</v>
      </c>
      <c r="D7" s="672">
        <f t="shared" si="0"/>
        <v>304044.41345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18871</v>
      </c>
      <c r="D8" s="672">
        <f t="shared" si="0"/>
        <v>-0.4074499999987893</v>
      </c>
      <c r="E8" s="671">
        <f>ABS('2-Отчет за доходите'!C44)-ABS('2-Отчет за доходите'!G44)</f>
        <v>18871.40745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49998.93025</v>
      </c>
      <c r="D9" s="672">
        <f t="shared" si="0"/>
        <v>0</v>
      </c>
      <c r="E9" s="671">
        <f>'3-Отчет за паричния поток'!C45</f>
        <v>49998.93025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50777.93025</v>
      </c>
      <c r="D10" s="672">
        <f t="shared" si="0"/>
        <v>-0.3496366666731774</v>
      </c>
      <c r="E10" s="671">
        <f>'3-Отчет за паричния поток'!C46</f>
        <v>50778.27988666667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312928.41345</v>
      </c>
      <c r="D11" s="672">
        <f t="shared" si="0"/>
        <v>0</v>
      </c>
      <c r="E11" s="671">
        <f>'4-Отчет за собствения капитал'!L34</f>
        <v>312928.41345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0.7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0.17927647204119246</v>
      </c>
      <c r="E3" s="643"/>
    </row>
    <row r="4" spans="1:4" ht="30.7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0.060304527134335234</v>
      </c>
    </row>
    <row r="5" spans="1:4" ht="30.7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0.22269294312013216</v>
      </c>
    </row>
    <row r="6" spans="1:4" ht="30.7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0.04745417110828828</v>
      </c>
    </row>
    <row r="7" spans="1:4" ht="24" customHeight="1">
      <c r="A7" s="642" t="s">
        <v>892</v>
      </c>
      <c r="B7" s="640"/>
      <c r="C7" s="640"/>
      <c r="D7" s="641"/>
    </row>
    <row r="8" spans="1:4" ht="30.7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1.2485293406865123</v>
      </c>
    </row>
    <row r="9" spans="1:4" ht="24" customHeight="1">
      <c r="A9" s="642" t="s">
        <v>895</v>
      </c>
      <c r="B9" s="640"/>
      <c r="C9" s="640"/>
      <c r="D9" s="641"/>
    </row>
    <row r="10" spans="1:4" ht="30.75">
      <c r="A10" s="589">
        <v>6</v>
      </c>
      <c r="B10" s="587" t="s">
        <v>896</v>
      </c>
      <c r="C10" s="588" t="s">
        <v>897</v>
      </c>
      <c r="D10" s="638">
        <f>'1-Баланс'!C94/'1-Баланс'!G79</f>
        <v>1.6406574590435214</v>
      </c>
    </row>
    <row r="11" spans="1:4" ht="61.5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1.5561464545755421</v>
      </c>
    </row>
    <row r="12" spans="1:4" ht="46.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0.8402768533840808</v>
      </c>
    </row>
    <row r="13" spans="1:4" ht="30.75">
      <c r="A13" s="589">
        <v>9</v>
      </c>
      <c r="B13" s="587" t="s">
        <v>900</v>
      </c>
      <c r="C13" s="588" t="s">
        <v>901</v>
      </c>
      <c r="D13" s="638">
        <f>'1-Баланс'!C92/'1-Баланс'!G79</f>
        <v>0.8402768533840808</v>
      </c>
    </row>
    <row r="14" spans="1:4" ht="24" customHeight="1">
      <c r="A14" s="642" t="s">
        <v>902</v>
      </c>
      <c r="B14" s="640"/>
      <c r="C14" s="640"/>
      <c r="D14" s="641"/>
    </row>
    <row r="15" spans="1:4" ht="30.7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0.35816275904663947</v>
      </c>
    </row>
    <row r="16" spans="1:4" ht="30.7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0.2646982650204356</v>
      </c>
    </row>
    <row r="17" spans="1:4" ht="24" customHeight="1">
      <c r="A17" s="642" t="s">
        <v>905</v>
      </c>
      <c r="B17" s="640"/>
      <c r="C17" s="640"/>
      <c r="D17" s="641"/>
    </row>
    <row r="18" spans="1:4" ht="30.7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0.07208550102968704</v>
      </c>
    </row>
    <row r="19" spans="1:4" ht="30.75">
      <c r="A19" s="589">
        <v>13</v>
      </c>
      <c r="B19" s="587" t="s">
        <v>933</v>
      </c>
      <c r="C19" s="588" t="s">
        <v>906</v>
      </c>
      <c r="D19" s="638">
        <f>D4/D5</f>
        <v>0.2707967584846361</v>
      </c>
    </row>
    <row r="20" spans="1:4" ht="30.75">
      <c r="A20" s="589">
        <v>14</v>
      </c>
      <c r="B20" s="587" t="s">
        <v>907</v>
      </c>
      <c r="C20" s="588" t="s">
        <v>908</v>
      </c>
      <c r="D20" s="638">
        <f>D6/D5</f>
        <v>0.21309238830567268</v>
      </c>
    </row>
    <row r="21" spans="1:5" ht="1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21372.40745</v>
      </c>
      <c r="E21" s="695"/>
    </row>
    <row r="22" spans="1:4" ht="46.5">
      <c r="A22" s="589">
        <v>16</v>
      </c>
      <c r="B22" s="587" t="s">
        <v>913</v>
      </c>
      <c r="C22" s="588" t="s">
        <v>914</v>
      </c>
      <c r="D22" s="644">
        <f>D21/'1-Баланс'!G37</f>
        <v>0.06829807243890591</v>
      </c>
    </row>
    <row r="23" spans="1:4" ht="30.7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0.4682405731358597</v>
      </c>
    </row>
    <row r="24" spans="1:4" ht="30.7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1.7192683712892005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">
      <c r="C2" s="577"/>
      <c r="F2" s="498" t="s">
        <v>851</v>
      </c>
    </row>
    <row r="3" spans="1:8" ht="1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1083</v>
      </c>
    </row>
    <row r="5" spans="1:8" ht="1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9481.793140000002</v>
      </c>
    </row>
    <row r="6" spans="1:8" ht="1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7082.2484</v>
      </c>
    </row>
    <row r="8" spans="1:8" ht="1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-0.31315000000086</v>
      </c>
    </row>
    <row r="10" spans="1:8" ht="1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764</v>
      </c>
    </row>
    <row r="11" spans="1:8" ht="1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18595.72839</v>
      </c>
    </row>
    <row r="12" spans="1:8" ht="1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3876.479250000004</v>
      </c>
    </row>
    <row r="16" spans="1:8" ht="1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2.7718000000022585</v>
      </c>
    </row>
    <row r="17" spans="1:8" ht="1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266312.3391100001</v>
      </c>
    </row>
    <row r="18" spans="1:8" ht="1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270191.59016000014</v>
      </c>
    </row>
    <row r="19" spans="1:8" ht="1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96.63917000000004</v>
      </c>
    </row>
    <row r="38" spans="1:8" ht="1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96.63917000000004</v>
      </c>
    </row>
    <row r="39" spans="1:8" ht="1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9634</v>
      </c>
    </row>
    <row r="41" spans="1:8" ht="1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298522.9577200001</v>
      </c>
    </row>
    <row r="42" spans="1:8" ht="1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5107</v>
      </c>
    </row>
    <row r="43" spans="1:8" ht="1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5107</v>
      </c>
    </row>
    <row r="49" spans="1:8" ht="1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1684</v>
      </c>
    </row>
    <row r="50" spans="1:8" ht="1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41576</v>
      </c>
    </row>
    <row r="51" spans="1:8" ht="1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43260</v>
      </c>
    </row>
    <row r="58" spans="1:8" ht="1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60</v>
      </c>
    </row>
    <row r="66" spans="1:8" ht="1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50717.93025</v>
      </c>
    </row>
    <row r="67" spans="1:8" ht="1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50777.93025</v>
      </c>
    </row>
    <row r="70" spans="1:8" ht="1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99144.93025</v>
      </c>
    </row>
    <row r="72" spans="1:8" ht="1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397667.88797000016</v>
      </c>
    </row>
    <row r="73" spans="1:8" ht="1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-469</v>
      </c>
    </row>
    <row r="82" spans="1:8" ht="1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10305</v>
      </c>
    </row>
    <row r="87" spans="1:8" ht="1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274868.41345</v>
      </c>
    </row>
    <row r="88" spans="1:8" ht="1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274868.41345</v>
      </c>
    </row>
    <row r="89" spans="1:8" ht="1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18871</v>
      </c>
    </row>
    <row r="92" spans="1:8" ht="1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293739.41345</v>
      </c>
    </row>
    <row r="94" spans="1:8" ht="1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312928.41345</v>
      </c>
    </row>
    <row r="95" spans="1:8" ht="1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15954</v>
      </c>
    </row>
    <row r="98" spans="1:8" ht="1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8356</v>
      </c>
    </row>
    <row r="102" spans="1:8" ht="1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24310</v>
      </c>
    </row>
    <row r="103" spans="1:8" ht="1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24310</v>
      </c>
    </row>
    <row r="108" spans="1:8" ht="1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18278</v>
      </c>
    </row>
    <row r="109" spans="1:8" ht="1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35473</v>
      </c>
    </row>
    <row r="111" spans="1:8" ht="1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4527</v>
      </c>
    </row>
    <row r="112" spans="1:8" ht="1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21558</v>
      </c>
    </row>
    <row r="114" spans="1:8" ht="1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4841</v>
      </c>
    </row>
    <row r="116" spans="1:8" ht="1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927</v>
      </c>
    </row>
    <row r="117" spans="1:8" ht="1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3620</v>
      </c>
    </row>
    <row r="118" spans="1:8" ht="1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4133</v>
      </c>
    </row>
    <row r="119" spans="1:8" ht="1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2546</v>
      </c>
    </row>
    <row r="120" spans="1:8" ht="1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60430</v>
      </c>
    </row>
    <row r="121" spans="1:8" ht="1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60430</v>
      </c>
    </row>
    <row r="125" spans="1:8" ht="1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397668.41345</v>
      </c>
    </row>
    <row r="126" spans="3:6" s="494" customFormat="1" ht="15">
      <c r="C126" s="577"/>
      <c r="F126" s="498" t="s">
        <v>852</v>
      </c>
    </row>
    <row r="127" spans="1:8" ht="1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6630</v>
      </c>
    </row>
    <row r="128" spans="1:8" ht="1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22420</v>
      </c>
    </row>
    <row r="129" spans="1:8" ht="1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27916</v>
      </c>
    </row>
    <row r="130" spans="1:8" ht="1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14376</v>
      </c>
    </row>
    <row r="131" spans="1:8" ht="1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3667</v>
      </c>
    </row>
    <row r="132" spans="1:8" ht="1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8815</v>
      </c>
    </row>
    <row r="135" spans="1:8" ht="1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6329</v>
      </c>
    </row>
    <row r="136" spans="1:8" ht="1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-16</v>
      </c>
    </row>
    <row r="137" spans="1:8" ht="1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83824</v>
      </c>
    </row>
    <row r="138" spans="1:8" ht="1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419</v>
      </c>
    </row>
    <row r="139" spans="1:8" ht="1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3</v>
      </c>
    </row>
    <row r="141" spans="1:8" ht="1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63.59255</v>
      </c>
    </row>
    <row r="142" spans="1:8" ht="1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485.59255</v>
      </c>
    </row>
    <row r="143" spans="1:8" ht="1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84309.59255</v>
      </c>
    </row>
    <row r="144" spans="1:8" ht="1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20953.40745</v>
      </c>
    </row>
    <row r="145" spans="1:8" ht="1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84309.59255</v>
      </c>
    </row>
    <row r="148" spans="1:8" ht="1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20953.40745</v>
      </c>
    </row>
    <row r="149" spans="1:8" ht="1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2082</v>
      </c>
    </row>
    <row r="150" spans="1:8" ht="1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2809</v>
      </c>
    </row>
    <row r="151" spans="1:8" ht="1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-727</v>
      </c>
    </row>
    <row r="152" spans="1:8" ht="1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18871.40745</v>
      </c>
    </row>
    <row r="154" spans="1:8" ht="1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18871.40745</v>
      </c>
    </row>
    <row r="156" spans="1:8" ht="1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105263</v>
      </c>
    </row>
    <row r="157" spans="1:8" ht="1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92106</v>
      </c>
    </row>
    <row r="160" spans="1:8" ht="1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13156</v>
      </c>
    </row>
    <row r="161" spans="1:8" ht="1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105262</v>
      </c>
    </row>
    <row r="162" spans="1:8" ht="1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105263</v>
      </c>
    </row>
    <row r="171" spans="1:8" ht="1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105263</v>
      </c>
    </row>
    <row r="175" spans="1:8" ht="1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105263</v>
      </c>
    </row>
    <row r="180" spans="3:6" s="494" customFormat="1" ht="15">
      <c r="C180" s="577"/>
      <c r="F180" s="498" t="s">
        <v>856</v>
      </c>
    </row>
    <row r="181" spans="1:8" ht="1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102498</v>
      </c>
    </row>
    <row r="182" spans="1:8" ht="1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-18862</v>
      </c>
    </row>
    <row r="185" spans="1:8" ht="1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-10609</v>
      </c>
    </row>
    <row r="186" spans="1:8" ht="1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-2156</v>
      </c>
    </row>
    <row r="187" spans="1:8" ht="1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-37920.65036333333</v>
      </c>
    </row>
    <row r="191" spans="1:8" ht="1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32950.34963666667</v>
      </c>
    </row>
    <row r="192" spans="1:8" ht="1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-18993</v>
      </c>
    </row>
    <row r="193" spans="1:8" ht="1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-18993</v>
      </c>
    </row>
    <row r="203" spans="1:8" ht="1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-12432</v>
      </c>
    </row>
    <row r="207" spans="1:8" ht="1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-460</v>
      </c>
    </row>
    <row r="208" spans="1:8" ht="1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-286</v>
      </c>
    </row>
    <row r="209" spans="1:8" ht="1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-13178</v>
      </c>
    </row>
    <row r="212" spans="1:8" ht="1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44012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779.3496366666732</v>
      </c>
    </row>
    <row r="213" spans="1:8" ht="1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44012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49998.93025</v>
      </c>
    </row>
    <row r="214" spans="1:8" ht="1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44012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50778.27988666667</v>
      </c>
    </row>
    <row r="215" spans="1:8" ht="1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44012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50778.27988666667</v>
      </c>
    </row>
    <row r="216" spans="1:8" ht="1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44012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1088</v>
      </c>
    </row>
    <row r="217" spans="3:6" s="494" customFormat="1" ht="15">
      <c r="C217" s="577"/>
      <c r="F217" s="498" t="s">
        <v>860</v>
      </c>
    </row>
    <row r="218" spans="1:8" ht="1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44012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44012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44012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44012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44012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44012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44012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44012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44012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44012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44012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44012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44012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44012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44012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44012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44012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44012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44012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44012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44012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44012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44012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44012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44012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44012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44012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44012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44012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44012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44012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44012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44012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44012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44012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44012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44012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44012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44012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44012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44012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44012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44012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44012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44012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-469</v>
      </c>
    </row>
    <row r="263" spans="1:8" ht="1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44012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44012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44012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44012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-469</v>
      </c>
    </row>
    <row r="267" spans="1:8" ht="1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44012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44012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44012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44012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44012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44012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44012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44012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44012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44012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44012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44012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44012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44012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-469</v>
      </c>
    </row>
    <row r="281" spans="1:8" ht="1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44012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44012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44012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-469</v>
      </c>
    </row>
    <row r="284" spans="1:8" ht="1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44012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44012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44012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44012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44012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44012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44012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44012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44012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44012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44012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44012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44012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44012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44012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44012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44012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44012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44012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44012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44012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44012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44012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44012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44012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44012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44012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44012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44012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44012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44012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44012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44012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44012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44012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44012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44012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44012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44012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44012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44012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44012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44012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44012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44012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44012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44012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44012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44012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44012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44012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44012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44012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44012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44012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44012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44012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44012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44012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44012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44012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44012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44012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44012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44012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44012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44012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274868.41345</v>
      </c>
    </row>
    <row r="351" spans="1:8" ht="1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44012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44012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44012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44012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274868.41345</v>
      </c>
    </row>
    <row r="355" spans="1:8" ht="1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44012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18871</v>
      </c>
    </row>
    <row r="356" spans="1:8" ht="1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44012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44012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44012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44012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44012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44012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44012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44012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44012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44012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44012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44012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44012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293739.41345</v>
      </c>
    </row>
    <row r="369" spans="1:8" ht="1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44012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44012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44012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293739.41345</v>
      </c>
    </row>
    <row r="372" spans="1:8" ht="1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44012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44012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44012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44012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44012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44012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44012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44012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44012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44012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44012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44012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44012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44012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44012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44012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44012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44012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44012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44012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44012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44012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44012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44012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44012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44012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44012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44012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44012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44012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44012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44012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44012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44012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44012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44012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44012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44012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44012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44012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44012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44012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44012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44012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44012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294057.41345</v>
      </c>
    </row>
    <row r="417" spans="1:8" ht="1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44012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44012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44012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44012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294057.41345</v>
      </c>
    </row>
    <row r="421" spans="1:8" ht="1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44012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18871</v>
      </c>
    </row>
    <row r="422" spans="1:8" ht="1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44012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44012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44012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44012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44012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44012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44012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44012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44012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44012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44012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44012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44012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312928.41345</v>
      </c>
    </row>
    <row r="435" spans="1:8" ht="1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44012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44012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44012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312928.41345</v>
      </c>
    </row>
    <row r="438" spans="1:8" ht="1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44012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44012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44012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44012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44012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44012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44012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44012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44012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44012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44012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44012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44012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44012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44012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44012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44012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44012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44012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44012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44012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44012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">
      <c r="C460" s="577"/>
      <c r="F460" s="498" t="s">
        <v>879</v>
      </c>
    </row>
    <row r="461" spans="1:8" ht="1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44012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44012</v>
      </c>
      <c r="D462" s="105" t="s">
        <v>526</v>
      </c>
      <c r="E462" s="493">
        <v>1</v>
      </c>
      <c r="F462" s="105" t="s">
        <v>525</v>
      </c>
      <c r="H462" s="105">
        <f>'Справка 6'!D12</f>
        <v>3953</v>
      </c>
    </row>
    <row r="463" spans="1:8" ht="1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44012</v>
      </c>
      <c r="D463" s="105" t="s">
        <v>529</v>
      </c>
      <c r="E463" s="493">
        <v>1</v>
      </c>
      <c r="F463" s="105" t="s">
        <v>528</v>
      </c>
      <c r="H463" s="105">
        <f>'Справка 6'!D13</f>
        <v>38172</v>
      </c>
    </row>
    <row r="464" spans="1:8" ht="1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44012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44012</v>
      </c>
      <c r="D465" s="105" t="s">
        <v>535</v>
      </c>
      <c r="E465" s="493">
        <v>1</v>
      </c>
      <c r="F465" s="105" t="s">
        <v>534</v>
      </c>
      <c r="H465" s="105">
        <f>'Справка 6'!D15</f>
        <v>19360</v>
      </c>
    </row>
    <row r="466" spans="1:8" ht="1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44012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44012</v>
      </c>
      <c r="D467" s="105" t="s">
        <v>540</v>
      </c>
      <c r="E467" s="493">
        <v>1</v>
      </c>
      <c r="F467" s="105" t="s">
        <v>539</v>
      </c>
      <c r="H467" s="105">
        <f>'Справка 6'!D17</f>
        <v>-0.31315000000086</v>
      </c>
    </row>
    <row r="468" spans="1:8" ht="1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44012</v>
      </c>
      <c r="D468" s="105" t="s">
        <v>543</v>
      </c>
      <c r="E468" s="493">
        <v>1</v>
      </c>
      <c r="F468" s="105" t="s">
        <v>542</v>
      </c>
      <c r="H468" s="105">
        <f>'Справка 6'!D18</f>
        <v>2081</v>
      </c>
    </row>
    <row r="469" spans="1:8" ht="1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44012</v>
      </c>
      <c r="D469" s="105" t="s">
        <v>545</v>
      </c>
      <c r="E469" s="493">
        <v>1</v>
      </c>
      <c r="F469" s="105" t="s">
        <v>828</v>
      </c>
      <c r="H469" s="105">
        <f>'Справка 6'!D19</f>
        <v>63750.68685</v>
      </c>
    </row>
    <row r="470" spans="1:8" ht="1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44012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44012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44012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44012</v>
      </c>
      <c r="D473" s="105" t="s">
        <v>555</v>
      </c>
      <c r="E473" s="493">
        <v>1</v>
      </c>
      <c r="F473" s="105" t="s">
        <v>554</v>
      </c>
      <c r="H473" s="105">
        <f>'Справка 6'!D24</f>
        <v>21624.47518</v>
      </c>
    </row>
    <row r="474" spans="1:8" ht="1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44012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44012</v>
      </c>
      <c r="D475" s="105" t="s">
        <v>558</v>
      </c>
      <c r="E475" s="493">
        <v>1</v>
      </c>
      <c r="F475" s="105" t="s">
        <v>542</v>
      </c>
      <c r="H475" s="105">
        <f>'Справка 6'!D26</f>
        <v>575265.52482</v>
      </c>
    </row>
    <row r="476" spans="1:8" ht="1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44012</v>
      </c>
      <c r="D476" s="105" t="s">
        <v>560</v>
      </c>
      <c r="E476" s="493">
        <v>1</v>
      </c>
      <c r="F476" s="105" t="s">
        <v>863</v>
      </c>
      <c r="H476" s="105">
        <f>'Справка 6'!D27</f>
        <v>617931</v>
      </c>
    </row>
    <row r="477" spans="1:8" ht="1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44012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44012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44012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44012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44012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44012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44012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44012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44012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44012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44012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44012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44012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44012</v>
      </c>
      <c r="D490" s="105" t="s">
        <v>583</v>
      </c>
      <c r="E490" s="493">
        <v>1</v>
      </c>
      <c r="F490" s="105" t="s">
        <v>582</v>
      </c>
      <c r="H490" s="105">
        <f>'Справка 6'!D42</f>
        <v>689074.6868499999</v>
      </c>
    </row>
    <row r="491" spans="1:8" ht="1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44012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44012</v>
      </c>
      <c r="D492" s="105" t="s">
        <v>526</v>
      </c>
      <c r="E492" s="493">
        <v>2</v>
      </c>
      <c r="F492" s="105" t="s">
        <v>525</v>
      </c>
      <c r="H492" s="105">
        <f>'Справка 6'!E12</f>
        <v>876</v>
      </c>
    </row>
    <row r="493" spans="1:8" ht="1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44012</v>
      </c>
      <c r="D493" s="105" t="s">
        <v>529</v>
      </c>
      <c r="E493" s="493">
        <v>2</v>
      </c>
      <c r="F493" s="105" t="s">
        <v>528</v>
      </c>
      <c r="H493" s="105">
        <f>'Справка 6'!E13</f>
        <v>354.20175</v>
      </c>
    </row>
    <row r="494" spans="1:8" ht="1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44012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44012</v>
      </c>
      <c r="D495" s="105" t="s">
        <v>535</v>
      </c>
      <c r="E495" s="493">
        <v>2</v>
      </c>
      <c r="F495" s="105" t="s">
        <v>534</v>
      </c>
      <c r="H495" s="105">
        <f>'Справка 6'!E15</f>
        <v>67.68338</v>
      </c>
    </row>
    <row r="496" spans="1:8" ht="1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44012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44012</v>
      </c>
      <c r="D497" s="105" t="s">
        <v>540</v>
      </c>
      <c r="E497" s="493">
        <v>2</v>
      </c>
      <c r="F497" s="105" t="s">
        <v>539</v>
      </c>
      <c r="H497" s="105">
        <f>'Справка 6'!E17</f>
        <v>425</v>
      </c>
    </row>
    <row r="498" spans="1:8" ht="1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44012</v>
      </c>
      <c r="D498" s="105" t="s">
        <v>543</v>
      </c>
      <c r="E498" s="493">
        <v>2</v>
      </c>
      <c r="F498" s="105" t="s">
        <v>542</v>
      </c>
      <c r="H498" s="105">
        <f>'Справка 6'!E18</f>
        <v>3</v>
      </c>
    </row>
    <row r="499" spans="1:8" ht="1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44012</v>
      </c>
      <c r="D499" s="105" t="s">
        <v>545</v>
      </c>
      <c r="E499" s="493">
        <v>2</v>
      </c>
      <c r="F499" s="105" t="s">
        <v>828</v>
      </c>
      <c r="H499" s="105">
        <f>'Справка 6'!E19</f>
        <v>1725.88513</v>
      </c>
    </row>
    <row r="500" spans="1:8" ht="1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44012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44012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44012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44012</v>
      </c>
      <c r="D503" s="105" t="s">
        <v>555</v>
      </c>
      <c r="E503" s="493">
        <v>2</v>
      </c>
      <c r="F503" s="105" t="s">
        <v>554</v>
      </c>
      <c r="H503" s="105">
        <f>'Справка 6'!E24</f>
        <v>66</v>
      </c>
    </row>
    <row r="504" spans="1:8" ht="1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44012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44012</v>
      </c>
      <c r="D505" s="105" t="s">
        <v>558</v>
      </c>
      <c r="E505" s="493">
        <v>2</v>
      </c>
      <c r="F505" s="105" t="s">
        <v>542</v>
      </c>
      <c r="H505" s="105">
        <f>'Справка 6'!E26</f>
        <v>28461.260110000003</v>
      </c>
    </row>
    <row r="506" spans="1:8" ht="1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44012</v>
      </c>
      <c r="D506" s="105" t="s">
        <v>560</v>
      </c>
      <c r="E506" s="493">
        <v>2</v>
      </c>
      <c r="F506" s="105" t="s">
        <v>863</v>
      </c>
      <c r="H506" s="105">
        <f>'Справка 6'!E27</f>
        <v>28527.260110000003</v>
      </c>
    </row>
    <row r="507" spans="1:8" ht="1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44012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44012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44012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44012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44012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44012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44012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44012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44012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44012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44012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44012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44012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44012</v>
      </c>
      <c r="D520" s="105" t="s">
        <v>583</v>
      </c>
      <c r="E520" s="493">
        <v>2</v>
      </c>
      <c r="F520" s="105" t="s">
        <v>582</v>
      </c>
      <c r="H520" s="105">
        <f>'Справка 6'!E42</f>
        <v>30253.14524</v>
      </c>
    </row>
    <row r="521" spans="1:8" ht="1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44012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44012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44012</v>
      </c>
      <c r="D523" s="105" t="s">
        <v>529</v>
      </c>
      <c r="E523" s="493">
        <v>3</v>
      </c>
      <c r="F523" s="105" t="s">
        <v>528</v>
      </c>
      <c r="H523" s="105">
        <f>'Справка 6'!F13</f>
        <v>8.40861</v>
      </c>
    </row>
    <row r="524" spans="1:8" ht="1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44012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44012</v>
      </c>
      <c r="D525" s="105" t="s">
        <v>535</v>
      </c>
      <c r="E525" s="493">
        <v>3</v>
      </c>
      <c r="F525" s="105" t="s">
        <v>534</v>
      </c>
      <c r="H525" s="105">
        <f>'Справка 6'!F15</f>
        <v>71.30117999999999</v>
      </c>
    </row>
    <row r="526" spans="1:8" ht="1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44012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44012</v>
      </c>
      <c r="D527" s="105" t="s">
        <v>540</v>
      </c>
      <c r="E527" s="493">
        <v>3</v>
      </c>
      <c r="F527" s="105" t="s">
        <v>539</v>
      </c>
      <c r="H527" s="105">
        <f>'Справка 6'!F17</f>
        <v>425</v>
      </c>
    </row>
    <row r="528" spans="1:8" ht="1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44012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44012</v>
      </c>
      <c r="D529" s="105" t="s">
        <v>545</v>
      </c>
      <c r="E529" s="493">
        <v>3</v>
      </c>
      <c r="F529" s="105" t="s">
        <v>828</v>
      </c>
      <c r="H529" s="105">
        <f>'Справка 6'!F19</f>
        <v>504.70979</v>
      </c>
    </row>
    <row r="530" spans="1:8" ht="1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44012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44012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44012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44012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44012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44012</v>
      </c>
      <c r="D535" s="105" t="s">
        <v>558</v>
      </c>
      <c r="E535" s="493">
        <v>3</v>
      </c>
      <c r="F535" s="105" t="s">
        <v>542</v>
      </c>
      <c r="H535" s="105">
        <f>'Справка 6'!F26</f>
        <v>15898</v>
      </c>
    </row>
    <row r="536" spans="1:8" ht="1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44012</v>
      </c>
      <c r="D536" s="105" t="s">
        <v>560</v>
      </c>
      <c r="E536" s="493">
        <v>3</v>
      </c>
      <c r="F536" s="105" t="s">
        <v>863</v>
      </c>
      <c r="H536" s="105">
        <f>'Справка 6'!F27</f>
        <v>15898</v>
      </c>
    </row>
    <row r="537" spans="1:8" ht="1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44012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44012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44012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44012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44012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44012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44012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44012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44012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44012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44012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44012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44012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44012</v>
      </c>
      <c r="D550" s="105" t="s">
        <v>583</v>
      </c>
      <c r="E550" s="493">
        <v>3</v>
      </c>
      <c r="F550" s="105" t="s">
        <v>582</v>
      </c>
      <c r="H550" s="105">
        <f>'Справка 6'!F42</f>
        <v>16402.70979</v>
      </c>
    </row>
    <row r="551" spans="1:8" ht="1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44012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44012</v>
      </c>
      <c r="D552" s="105" t="s">
        <v>526</v>
      </c>
      <c r="E552" s="493">
        <v>4</v>
      </c>
      <c r="F552" s="105" t="s">
        <v>525</v>
      </c>
      <c r="H552" s="105">
        <f>'Справка 6'!G12</f>
        <v>4829</v>
      </c>
    </row>
    <row r="553" spans="1:8" ht="1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44012</v>
      </c>
      <c r="D553" s="105" t="s">
        <v>529</v>
      </c>
      <c r="E553" s="493">
        <v>4</v>
      </c>
      <c r="F553" s="105" t="s">
        <v>528</v>
      </c>
      <c r="H553" s="105">
        <f>'Справка 6'!G13</f>
        <v>38517.79314</v>
      </c>
    </row>
    <row r="554" spans="1:8" ht="1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44012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44012</v>
      </c>
      <c r="D555" s="105" t="s">
        <v>535</v>
      </c>
      <c r="E555" s="493">
        <v>4</v>
      </c>
      <c r="F555" s="105" t="s">
        <v>534</v>
      </c>
      <c r="H555" s="105">
        <f>'Справка 6'!G15</f>
        <v>19356.3822</v>
      </c>
    </row>
    <row r="556" spans="1:8" ht="1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44012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44012</v>
      </c>
      <c r="D557" s="105" t="s">
        <v>540</v>
      </c>
      <c r="E557" s="493">
        <v>4</v>
      </c>
      <c r="F557" s="105" t="s">
        <v>539</v>
      </c>
      <c r="H557" s="105">
        <f>'Справка 6'!G17</f>
        <v>-0.31315000000086</v>
      </c>
    </row>
    <row r="558" spans="1:8" ht="1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44012</v>
      </c>
      <c r="D558" s="105" t="s">
        <v>543</v>
      </c>
      <c r="E558" s="493">
        <v>4</v>
      </c>
      <c r="F558" s="105" t="s">
        <v>542</v>
      </c>
      <c r="H558" s="105">
        <f>'Справка 6'!G18</f>
        <v>2084</v>
      </c>
    </row>
    <row r="559" spans="1:8" ht="1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44012</v>
      </c>
      <c r="D559" s="105" t="s">
        <v>545</v>
      </c>
      <c r="E559" s="493">
        <v>4</v>
      </c>
      <c r="F559" s="105" t="s">
        <v>828</v>
      </c>
      <c r="H559" s="105">
        <f>'Справка 6'!G19</f>
        <v>64971.86219</v>
      </c>
    </row>
    <row r="560" spans="1:8" ht="1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44012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44012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44012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44012</v>
      </c>
      <c r="D563" s="105" t="s">
        <v>555</v>
      </c>
      <c r="E563" s="493">
        <v>4</v>
      </c>
      <c r="F563" s="105" t="s">
        <v>554</v>
      </c>
      <c r="H563" s="105">
        <f>'Справка 6'!G24</f>
        <v>21690.47518</v>
      </c>
    </row>
    <row r="564" spans="1:8" ht="1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44012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44012</v>
      </c>
      <c r="D565" s="105" t="s">
        <v>558</v>
      </c>
      <c r="E565" s="493">
        <v>4</v>
      </c>
      <c r="F565" s="105" t="s">
        <v>542</v>
      </c>
      <c r="H565" s="105">
        <f>'Справка 6'!G26</f>
        <v>587828.7849300001</v>
      </c>
    </row>
    <row r="566" spans="1:8" ht="1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44012</v>
      </c>
      <c r="D566" s="105" t="s">
        <v>560</v>
      </c>
      <c r="E566" s="493">
        <v>4</v>
      </c>
      <c r="F566" s="105" t="s">
        <v>863</v>
      </c>
      <c r="H566" s="105">
        <f>'Справка 6'!G27</f>
        <v>630560.26011</v>
      </c>
    </row>
    <row r="567" spans="1:8" ht="1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44012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44012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44012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44012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44012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44012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44012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44012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44012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44012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44012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44012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44012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44012</v>
      </c>
      <c r="D580" s="105" t="s">
        <v>583</v>
      </c>
      <c r="E580" s="493">
        <v>4</v>
      </c>
      <c r="F580" s="105" t="s">
        <v>582</v>
      </c>
      <c r="H580" s="105">
        <f>'Справка 6'!G42</f>
        <v>702925.1223</v>
      </c>
    </row>
    <row r="581" spans="1:8" ht="1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44012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44012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44012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44012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44012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44012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44012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44012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44012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44012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44012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44012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44012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44012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44012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44012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44012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44012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44012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44012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44012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44012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44012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44012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44012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44012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44012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44012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44012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44012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44012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44012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44012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44012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44012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44012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44012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44012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44012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44012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44012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44012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44012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44012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44012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44012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44012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44012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44012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44012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44012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44012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44012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44012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44012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44012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44012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44012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44012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44012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44012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44012</v>
      </c>
      <c r="D642" s="105" t="s">
        <v>526</v>
      </c>
      <c r="E642" s="493">
        <v>7</v>
      </c>
      <c r="F642" s="105" t="s">
        <v>525</v>
      </c>
      <c r="H642" s="105">
        <f>'Справка 6'!J12</f>
        <v>4829</v>
      </c>
    </row>
    <row r="643" spans="1:8" ht="1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44012</v>
      </c>
      <c r="D643" s="105" t="s">
        <v>529</v>
      </c>
      <c r="E643" s="493">
        <v>7</v>
      </c>
      <c r="F643" s="105" t="s">
        <v>528</v>
      </c>
      <c r="H643" s="105">
        <f>'Справка 6'!J13</f>
        <v>38517.79314</v>
      </c>
    </row>
    <row r="644" spans="1:8" ht="1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44012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44012</v>
      </c>
      <c r="D645" s="105" t="s">
        <v>535</v>
      </c>
      <c r="E645" s="493">
        <v>7</v>
      </c>
      <c r="F645" s="105" t="s">
        <v>534</v>
      </c>
      <c r="H645" s="105">
        <f>'Справка 6'!J15</f>
        <v>19356.3822</v>
      </c>
    </row>
    <row r="646" spans="1:8" ht="1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44012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44012</v>
      </c>
      <c r="D647" s="105" t="s">
        <v>540</v>
      </c>
      <c r="E647" s="493">
        <v>7</v>
      </c>
      <c r="F647" s="105" t="s">
        <v>539</v>
      </c>
      <c r="H647" s="105">
        <f>'Справка 6'!J17</f>
        <v>-0.31315000000086</v>
      </c>
    </row>
    <row r="648" spans="1:8" ht="1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44012</v>
      </c>
      <c r="D648" s="105" t="s">
        <v>543</v>
      </c>
      <c r="E648" s="493">
        <v>7</v>
      </c>
      <c r="F648" s="105" t="s">
        <v>542</v>
      </c>
      <c r="H648" s="105">
        <f>'Справка 6'!J18</f>
        <v>2084</v>
      </c>
    </row>
    <row r="649" spans="1:8" ht="1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44012</v>
      </c>
      <c r="D649" s="105" t="s">
        <v>545</v>
      </c>
      <c r="E649" s="493">
        <v>7</v>
      </c>
      <c r="F649" s="105" t="s">
        <v>828</v>
      </c>
      <c r="H649" s="105">
        <f>'Справка 6'!J19</f>
        <v>64971.86219</v>
      </c>
    </row>
    <row r="650" spans="1:8" ht="1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44012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44012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44012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44012</v>
      </c>
      <c r="D653" s="105" t="s">
        <v>555</v>
      </c>
      <c r="E653" s="493">
        <v>7</v>
      </c>
      <c r="F653" s="105" t="s">
        <v>554</v>
      </c>
      <c r="H653" s="105">
        <f>'Справка 6'!J24</f>
        <v>21690.47518</v>
      </c>
    </row>
    <row r="654" spans="1:8" ht="1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44012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44012</v>
      </c>
      <c r="D655" s="105" t="s">
        <v>558</v>
      </c>
      <c r="E655" s="493">
        <v>7</v>
      </c>
      <c r="F655" s="105" t="s">
        <v>542</v>
      </c>
      <c r="H655" s="105">
        <f>'Справка 6'!J26</f>
        <v>587828.7849300001</v>
      </c>
    </row>
    <row r="656" spans="1:8" ht="1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44012</v>
      </c>
      <c r="D656" s="105" t="s">
        <v>560</v>
      </c>
      <c r="E656" s="493">
        <v>7</v>
      </c>
      <c r="F656" s="105" t="s">
        <v>863</v>
      </c>
      <c r="H656" s="105">
        <f>'Справка 6'!J27</f>
        <v>630560.26011</v>
      </c>
    </row>
    <row r="657" spans="1:8" ht="1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44012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44012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44012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44012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44012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44012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44012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44012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44012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44012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44012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44012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44012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44012</v>
      </c>
      <c r="D670" s="105" t="s">
        <v>583</v>
      </c>
      <c r="E670" s="493">
        <v>7</v>
      </c>
      <c r="F670" s="105" t="s">
        <v>582</v>
      </c>
      <c r="H670" s="105">
        <f>'Справка 6'!J42</f>
        <v>702925.1223</v>
      </c>
    </row>
    <row r="671" spans="1:8" ht="1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44012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44012</v>
      </c>
      <c r="D672" s="105" t="s">
        <v>526</v>
      </c>
      <c r="E672" s="493">
        <v>8</v>
      </c>
      <c r="F672" s="105" t="s">
        <v>525</v>
      </c>
      <c r="H672" s="105">
        <f>'Справка 6'!K12</f>
        <v>3298</v>
      </c>
    </row>
    <row r="673" spans="1:8" ht="1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44012</v>
      </c>
      <c r="D673" s="105" t="s">
        <v>529</v>
      </c>
      <c r="E673" s="493">
        <v>8</v>
      </c>
      <c r="F673" s="105" t="s">
        <v>528</v>
      </c>
      <c r="H673" s="105">
        <f>'Справка 6'!K13</f>
        <v>27387</v>
      </c>
    </row>
    <row r="674" spans="1:8" ht="1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44012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44012</v>
      </c>
      <c r="D675" s="105" t="s">
        <v>535</v>
      </c>
      <c r="E675" s="493">
        <v>8</v>
      </c>
      <c r="F675" s="105" t="s">
        <v>534</v>
      </c>
      <c r="H675" s="105">
        <f>'Справка 6'!K15</f>
        <v>11375</v>
      </c>
    </row>
    <row r="676" spans="1:8" ht="1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44012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44012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44012</v>
      </c>
      <c r="D678" s="105" t="s">
        <v>543</v>
      </c>
      <c r="E678" s="493">
        <v>8</v>
      </c>
      <c r="F678" s="105" t="s">
        <v>542</v>
      </c>
      <c r="H678" s="105">
        <f>'Справка 6'!K18</f>
        <v>1268</v>
      </c>
    </row>
    <row r="679" spans="1:8" ht="1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44012</v>
      </c>
      <c r="D679" s="105" t="s">
        <v>545</v>
      </c>
      <c r="E679" s="493">
        <v>8</v>
      </c>
      <c r="F679" s="105" t="s">
        <v>828</v>
      </c>
      <c r="H679" s="105">
        <f>'Справка 6'!K19</f>
        <v>43328</v>
      </c>
    </row>
    <row r="680" spans="1:8" ht="1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44012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44012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44012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44012</v>
      </c>
      <c r="D683" s="105" t="s">
        <v>555</v>
      </c>
      <c r="E683" s="493">
        <v>8</v>
      </c>
      <c r="F683" s="105" t="s">
        <v>554</v>
      </c>
      <c r="H683" s="105">
        <f>'Справка 6'!K24</f>
        <v>17427.71577</v>
      </c>
    </row>
    <row r="684" spans="1:8" ht="1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44012</v>
      </c>
      <c r="D684" s="105" t="s">
        <v>557</v>
      </c>
      <c r="E684" s="493">
        <v>8</v>
      </c>
      <c r="F684" s="105" t="s">
        <v>556</v>
      </c>
      <c r="H684" s="105">
        <f>'Справка 6'!K25</f>
        <v>21037.982559999997</v>
      </c>
    </row>
    <row r="685" spans="1:8" ht="1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44012</v>
      </c>
      <c r="D685" s="105" t="s">
        <v>558</v>
      </c>
      <c r="E685" s="493">
        <v>8</v>
      </c>
      <c r="F685" s="105" t="s">
        <v>542</v>
      </c>
      <c r="H685" s="105">
        <f>'Справка 6'!K26</f>
        <v>298248.72598</v>
      </c>
    </row>
    <row r="686" spans="1:8" ht="1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44012</v>
      </c>
      <c r="D686" s="105" t="s">
        <v>560</v>
      </c>
      <c r="E686" s="493">
        <v>8</v>
      </c>
      <c r="F686" s="105" t="s">
        <v>863</v>
      </c>
      <c r="H686" s="105">
        <f>'Справка 6'!K27</f>
        <v>336714.42431</v>
      </c>
    </row>
    <row r="687" spans="1:8" ht="1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44012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44012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44012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44012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44012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44012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44012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44012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44012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44012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44012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44012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44012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44012</v>
      </c>
      <c r="D700" s="105" t="s">
        <v>583</v>
      </c>
      <c r="E700" s="493">
        <v>8</v>
      </c>
      <c r="F700" s="105" t="s">
        <v>582</v>
      </c>
      <c r="H700" s="105">
        <f>'Справка 6'!K42</f>
        <v>387435.42431</v>
      </c>
    </row>
    <row r="701" spans="1:8" ht="1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44012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44012</v>
      </c>
      <c r="D702" s="105" t="s">
        <v>526</v>
      </c>
      <c r="E702" s="493">
        <v>9</v>
      </c>
      <c r="F702" s="105" t="s">
        <v>525</v>
      </c>
      <c r="H702" s="105">
        <f>'Справка 6'!L12</f>
        <v>448</v>
      </c>
    </row>
    <row r="703" spans="1:8" ht="1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44012</v>
      </c>
      <c r="D703" s="105" t="s">
        <v>529</v>
      </c>
      <c r="E703" s="493">
        <v>9</v>
      </c>
      <c r="F703" s="105" t="s">
        <v>528</v>
      </c>
      <c r="H703" s="105">
        <f>'Справка 6'!L13</f>
        <v>1656</v>
      </c>
    </row>
    <row r="704" spans="1:8" ht="1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44012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44012</v>
      </c>
      <c r="D705" s="105" t="s">
        <v>535</v>
      </c>
      <c r="E705" s="493">
        <v>9</v>
      </c>
      <c r="F705" s="105" t="s">
        <v>534</v>
      </c>
      <c r="H705" s="105">
        <f>'Справка 6'!L15</f>
        <v>970.0945700000001</v>
      </c>
    </row>
    <row r="706" spans="1:8" ht="1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44012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44012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44012</v>
      </c>
      <c r="D708" s="105" t="s">
        <v>543</v>
      </c>
      <c r="E708" s="493">
        <v>9</v>
      </c>
      <c r="F708" s="105" t="s">
        <v>542</v>
      </c>
      <c r="H708" s="105">
        <f>'Справка 6'!L18</f>
        <v>52</v>
      </c>
    </row>
    <row r="709" spans="1:8" ht="1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44012</v>
      </c>
      <c r="D709" s="105" t="s">
        <v>545</v>
      </c>
      <c r="E709" s="493">
        <v>9</v>
      </c>
      <c r="F709" s="105" t="s">
        <v>828</v>
      </c>
      <c r="H709" s="105">
        <f>'Справка 6'!L19</f>
        <v>3126.09457</v>
      </c>
    </row>
    <row r="710" spans="1:8" ht="1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44012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44012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44012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44012</v>
      </c>
      <c r="D713" s="105" t="s">
        <v>555</v>
      </c>
      <c r="E713" s="493">
        <v>9</v>
      </c>
      <c r="F713" s="105" t="s">
        <v>554</v>
      </c>
      <c r="H713" s="105">
        <f>'Справка 6'!L24</f>
        <v>386.28015999999997</v>
      </c>
    </row>
    <row r="714" spans="1:8" ht="1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44012</v>
      </c>
      <c r="D714" s="105" t="s">
        <v>557</v>
      </c>
      <c r="E714" s="493">
        <v>9</v>
      </c>
      <c r="F714" s="105" t="s">
        <v>556</v>
      </c>
      <c r="H714" s="105">
        <f>'Справка 6'!L25</f>
        <v>0.24564</v>
      </c>
    </row>
    <row r="715" spans="1:8" ht="1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44012</v>
      </c>
      <c r="D715" s="105" t="s">
        <v>558</v>
      </c>
      <c r="E715" s="493">
        <v>9</v>
      </c>
      <c r="F715" s="105" t="s">
        <v>542</v>
      </c>
      <c r="H715" s="105">
        <f>'Справка 6'!L26</f>
        <v>23267.71984</v>
      </c>
    </row>
    <row r="716" spans="1:8" ht="1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44012</v>
      </c>
      <c r="D716" s="105" t="s">
        <v>560</v>
      </c>
      <c r="E716" s="493">
        <v>9</v>
      </c>
      <c r="F716" s="105" t="s">
        <v>863</v>
      </c>
      <c r="H716" s="105">
        <f>'Справка 6'!L27</f>
        <v>23654.24564</v>
      </c>
    </row>
    <row r="717" spans="1:8" ht="1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44012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44012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44012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44012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44012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44012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44012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44012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44012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44012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44012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44012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44012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44012</v>
      </c>
      <c r="D730" s="105" t="s">
        <v>583</v>
      </c>
      <c r="E730" s="493">
        <v>9</v>
      </c>
      <c r="F730" s="105" t="s">
        <v>582</v>
      </c>
      <c r="H730" s="105">
        <f>'Справка 6'!L42</f>
        <v>26780.340210000002</v>
      </c>
    </row>
    <row r="731" spans="1:8" ht="1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44012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44012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44012</v>
      </c>
      <c r="D733" s="105" t="s">
        <v>529</v>
      </c>
      <c r="E733" s="493">
        <v>10</v>
      </c>
      <c r="F733" s="105" t="s">
        <v>528</v>
      </c>
      <c r="H733" s="105">
        <f>'Справка 6'!M13</f>
        <v>7</v>
      </c>
    </row>
    <row r="734" spans="1:8" ht="1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44012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44012</v>
      </c>
      <c r="D735" s="105" t="s">
        <v>535</v>
      </c>
      <c r="E735" s="493">
        <v>10</v>
      </c>
      <c r="F735" s="105" t="s">
        <v>534</v>
      </c>
      <c r="H735" s="105">
        <f>'Справка 6'!M15</f>
        <v>70.96077000000001</v>
      </c>
    </row>
    <row r="736" spans="1:8" ht="1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44012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44012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44012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44012</v>
      </c>
      <c r="D739" s="105" t="s">
        <v>545</v>
      </c>
      <c r="E739" s="493">
        <v>10</v>
      </c>
      <c r="F739" s="105" t="s">
        <v>828</v>
      </c>
      <c r="H739" s="105">
        <f>'Справка 6'!M19</f>
        <v>77.96077000000001</v>
      </c>
    </row>
    <row r="740" spans="1:8" ht="1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44012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44012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44012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44012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44012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44012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44012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44012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44012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44012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44012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44012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44012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44012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44012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44012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44012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44012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44012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44012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44012</v>
      </c>
      <c r="D760" s="105" t="s">
        <v>583</v>
      </c>
      <c r="E760" s="493">
        <v>10</v>
      </c>
      <c r="F760" s="105" t="s">
        <v>582</v>
      </c>
      <c r="H760" s="105">
        <f>'Справка 6'!M42</f>
        <v>77.96077000000001</v>
      </c>
    </row>
    <row r="761" spans="1:8" ht="1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44012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44012</v>
      </c>
      <c r="D762" s="105" t="s">
        <v>526</v>
      </c>
      <c r="E762" s="493">
        <v>11</v>
      </c>
      <c r="F762" s="105" t="s">
        <v>525</v>
      </c>
      <c r="H762" s="105">
        <f>'Справка 6'!N12</f>
        <v>3746</v>
      </c>
    </row>
    <row r="763" spans="1:8" ht="1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44012</v>
      </c>
      <c r="D763" s="105" t="s">
        <v>529</v>
      </c>
      <c r="E763" s="493">
        <v>11</v>
      </c>
      <c r="F763" s="105" t="s">
        <v>528</v>
      </c>
      <c r="H763" s="105">
        <f>'Справка 6'!N13</f>
        <v>29036</v>
      </c>
    </row>
    <row r="764" spans="1:8" ht="1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44012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44012</v>
      </c>
      <c r="D765" s="105" t="s">
        <v>535</v>
      </c>
      <c r="E765" s="493">
        <v>11</v>
      </c>
      <c r="F765" s="105" t="s">
        <v>534</v>
      </c>
      <c r="H765" s="105">
        <f>'Справка 6'!N15</f>
        <v>12274.1338</v>
      </c>
    </row>
    <row r="766" spans="1:8" ht="1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44012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44012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44012</v>
      </c>
      <c r="D768" s="105" t="s">
        <v>543</v>
      </c>
      <c r="E768" s="493">
        <v>11</v>
      </c>
      <c r="F768" s="105" t="s">
        <v>542</v>
      </c>
      <c r="H768" s="105">
        <f>'Справка 6'!N18</f>
        <v>1320</v>
      </c>
    </row>
    <row r="769" spans="1:8" ht="1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44012</v>
      </c>
      <c r="D769" s="105" t="s">
        <v>545</v>
      </c>
      <c r="E769" s="493">
        <v>11</v>
      </c>
      <c r="F769" s="105" t="s">
        <v>828</v>
      </c>
      <c r="H769" s="105">
        <f>'Справка 6'!N19</f>
        <v>46376.1338</v>
      </c>
    </row>
    <row r="770" spans="1:8" ht="1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44012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44012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44012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44012</v>
      </c>
      <c r="D773" s="105" t="s">
        <v>555</v>
      </c>
      <c r="E773" s="493">
        <v>11</v>
      </c>
      <c r="F773" s="105" t="s">
        <v>554</v>
      </c>
      <c r="H773" s="105">
        <f>'Справка 6'!N24</f>
        <v>17813.995929999997</v>
      </c>
    </row>
    <row r="774" spans="1:8" ht="1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44012</v>
      </c>
      <c r="D774" s="105" t="s">
        <v>557</v>
      </c>
      <c r="E774" s="493">
        <v>11</v>
      </c>
      <c r="F774" s="105" t="s">
        <v>556</v>
      </c>
      <c r="H774" s="105">
        <f>'Справка 6'!N25</f>
        <v>21038.228199999998</v>
      </c>
    </row>
    <row r="775" spans="1:8" ht="1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44012</v>
      </c>
      <c r="D775" s="105" t="s">
        <v>558</v>
      </c>
      <c r="E775" s="493">
        <v>11</v>
      </c>
      <c r="F775" s="105" t="s">
        <v>542</v>
      </c>
      <c r="H775" s="105">
        <f>'Справка 6'!N26</f>
        <v>321516.44581999996</v>
      </c>
    </row>
    <row r="776" spans="1:8" ht="1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44012</v>
      </c>
      <c r="D776" s="105" t="s">
        <v>560</v>
      </c>
      <c r="E776" s="493">
        <v>11</v>
      </c>
      <c r="F776" s="105" t="s">
        <v>863</v>
      </c>
      <c r="H776" s="105">
        <f>'Справка 6'!N27</f>
        <v>360368.66994999995</v>
      </c>
    </row>
    <row r="777" spans="1:8" ht="1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44012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44012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44012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44012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44012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44012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44012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44012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44012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44012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44012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44012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44012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44012</v>
      </c>
      <c r="D790" s="105" t="s">
        <v>583</v>
      </c>
      <c r="E790" s="493">
        <v>11</v>
      </c>
      <c r="F790" s="105" t="s">
        <v>582</v>
      </c>
      <c r="H790" s="105">
        <f>'Справка 6'!N42</f>
        <v>414137.80374999996</v>
      </c>
    </row>
    <row r="791" spans="1:8" ht="1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44012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44012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44012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44012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44012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44012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44012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44012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44012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44012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44012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44012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44012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44012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44012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44012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44012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44012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44012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44012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44012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44012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44012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44012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44012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44012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44012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44012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44012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44012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44012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44012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44012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44012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44012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44012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44012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44012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44012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44012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44012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44012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44012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44012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44012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44012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44012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44012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44012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44012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44012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44012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44012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44012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44012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44012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44012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44012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44012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44012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44012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44012</v>
      </c>
      <c r="D852" s="105" t="s">
        <v>526</v>
      </c>
      <c r="E852" s="493">
        <v>14</v>
      </c>
      <c r="F852" s="105" t="s">
        <v>525</v>
      </c>
      <c r="H852" s="105">
        <f>'Справка 6'!Q12</f>
        <v>3746</v>
      </c>
    </row>
    <row r="853" spans="1:8" ht="1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44012</v>
      </c>
      <c r="D853" s="105" t="s">
        <v>529</v>
      </c>
      <c r="E853" s="493">
        <v>14</v>
      </c>
      <c r="F853" s="105" t="s">
        <v>528</v>
      </c>
      <c r="H853" s="105">
        <f>'Справка 6'!Q13</f>
        <v>29036</v>
      </c>
    </row>
    <row r="854" spans="1:8" ht="1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44012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44012</v>
      </c>
      <c r="D855" s="105" t="s">
        <v>535</v>
      </c>
      <c r="E855" s="493">
        <v>14</v>
      </c>
      <c r="F855" s="105" t="s">
        <v>534</v>
      </c>
      <c r="H855" s="105">
        <f>'Справка 6'!Q15</f>
        <v>12274.1338</v>
      </c>
    </row>
    <row r="856" spans="1:8" ht="1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44012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44012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44012</v>
      </c>
      <c r="D858" s="105" t="s">
        <v>543</v>
      </c>
      <c r="E858" s="493">
        <v>14</v>
      </c>
      <c r="F858" s="105" t="s">
        <v>542</v>
      </c>
      <c r="H858" s="105">
        <f>'Справка 6'!Q18</f>
        <v>1320</v>
      </c>
    </row>
    <row r="859" spans="1:8" ht="1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44012</v>
      </c>
      <c r="D859" s="105" t="s">
        <v>545</v>
      </c>
      <c r="E859" s="493">
        <v>14</v>
      </c>
      <c r="F859" s="105" t="s">
        <v>828</v>
      </c>
      <c r="H859" s="105">
        <f>'Справка 6'!Q19</f>
        <v>46376.1338</v>
      </c>
    </row>
    <row r="860" spans="1:8" ht="1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44012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44012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44012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44012</v>
      </c>
      <c r="D863" s="105" t="s">
        <v>555</v>
      </c>
      <c r="E863" s="493">
        <v>14</v>
      </c>
      <c r="F863" s="105" t="s">
        <v>554</v>
      </c>
      <c r="H863" s="105">
        <f>'Справка 6'!Q24</f>
        <v>17813.995929999997</v>
      </c>
    </row>
    <row r="864" spans="1:8" ht="1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44012</v>
      </c>
      <c r="D864" s="105" t="s">
        <v>557</v>
      </c>
      <c r="E864" s="493">
        <v>14</v>
      </c>
      <c r="F864" s="105" t="s">
        <v>556</v>
      </c>
      <c r="H864" s="105">
        <f>'Справка 6'!Q25</f>
        <v>21038.228199999998</v>
      </c>
    </row>
    <row r="865" spans="1:8" ht="1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44012</v>
      </c>
      <c r="D865" s="105" t="s">
        <v>558</v>
      </c>
      <c r="E865" s="493">
        <v>14</v>
      </c>
      <c r="F865" s="105" t="s">
        <v>542</v>
      </c>
      <c r="H865" s="105">
        <f>'Справка 6'!Q26</f>
        <v>321516.44581999996</v>
      </c>
    </row>
    <row r="866" spans="1:8" ht="1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44012</v>
      </c>
      <c r="D866" s="105" t="s">
        <v>560</v>
      </c>
      <c r="E866" s="493">
        <v>14</v>
      </c>
      <c r="F866" s="105" t="s">
        <v>863</v>
      </c>
      <c r="H866" s="105">
        <f>'Справка 6'!Q27</f>
        <v>360368.66994999995</v>
      </c>
    </row>
    <row r="867" spans="1:8" ht="1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44012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44012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44012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44012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44012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44012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44012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44012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44012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44012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44012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44012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44012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44012</v>
      </c>
      <c r="D880" s="105" t="s">
        <v>583</v>
      </c>
      <c r="E880" s="493">
        <v>14</v>
      </c>
      <c r="F880" s="105" t="s">
        <v>582</v>
      </c>
      <c r="H880" s="105">
        <f>'Справка 6'!Q42</f>
        <v>414137.80374999996</v>
      </c>
    </row>
    <row r="881" spans="1:8" ht="1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44012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44012</v>
      </c>
      <c r="D882" s="105" t="s">
        <v>526</v>
      </c>
      <c r="E882" s="493">
        <v>15</v>
      </c>
      <c r="F882" s="105" t="s">
        <v>525</v>
      </c>
      <c r="H882" s="105">
        <f>'Справка 6'!R12</f>
        <v>1083</v>
      </c>
    </row>
    <row r="883" spans="1:8" ht="1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44012</v>
      </c>
      <c r="D883" s="105" t="s">
        <v>529</v>
      </c>
      <c r="E883" s="493">
        <v>15</v>
      </c>
      <c r="F883" s="105" t="s">
        <v>528</v>
      </c>
      <c r="H883" s="105">
        <f>'Справка 6'!R13</f>
        <v>9481.793140000002</v>
      </c>
    </row>
    <row r="884" spans="1:8" ht="1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44012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44012</v>
      </c>
      <c r="D885" s="105" t="s">
        <v>535</v>
      </c>
      <c r="E885" s="493">
        <v>15</v>
      </c>
      <c r="F885" s="105" t="s">
        <v>534</v>
      </c>
      <c r="H885" s="105">
        <f>'Справка 6'!R15</f>
        <v>7082.2484</v>
      </c>
    </row>
    <row r="886" spans="1:8" ht="1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44012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44012</v>
      </c>
      <c r="D887" s="105" t="s">
        <v>540</v>
      </c>
      <c r="E887" s="493">
        <v>15</v>
      </c>
      <c r="F887" s="105" t="s">
        <v>539</v>
      </c>
      <c r="H887" s="105">
        <f>'Справка 6'!R17</f>
        <v>-0.31315000000086</v>
      </c>
    </row>
    <row r="888" spans="1:8" ht="1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44012</v>
      </c>
      <c r="D888" s="105" t="s">
        <v>543</v>
      </c>
      <c r="E888" s="493">
        <v>15</v>
      </c>
      <c r="F888" s="105" t="s">
        <v>542</v>
      </c>
      <c r="H888" s="105">
        <f>'Справка 6'!R18</f>
        <v>764</v>
      </c>
    </row>
    <row r="889" spans="1:8" ht="1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44012</v>
      </c>
      <c r="D889" s="105" t="s">
        <v>545</v>
      </c>
      <c r="E889" s="493">
        <v>15</v>
      </c>
      <c r="F889" s="105" t="s">
        <v>828</v>
      </c>
      <c r="H889" s="105">
        <f>'Справка 6'!R19</f>
        <v>18595.728389999997</v>
      </c>
    </row>
    <row r="890" spans="1:8" ht="1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44012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44012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44012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44012</v>
      </c>
      <c r="D893" s="105" t="s">
        <v>555</v>
      </c>
      <c r="E893" s="493">
        <v>15</v>
      </c>
      <c r="F893" s="105" t="s">
        <v>554</v>
      </c>
      <c r="H893" s="105">
        <f>'Справка 6'!R24</f>
        <v>3876.479250000004</v>
      </c>
    </row>
    <row r="894" spans="1:8" ht="1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44012</v>
      </c>
      <c r="D894" s="105" t="s">
        <v>557</v>
      </c>
      <c r="E894" s="493">
        <v>15</v>
      </c>
      <c r="F894" s="105" t="s">
        <v>556</v>
      </c>
      <c r="H894" s="105">
        <f>'Справка 6'!R25</f>
        <v>2.7718000000022585</v>
      </c>
    </row>
    <row r="895" spans="1:8" ht="1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44012</v>
      </c>
      <c r="D895" s="105" t="s">
        <v>558</v>
      </c>
      <c r="E895" s="493">
        <v>15</v>
      </c>
      <c r="F895" s="105" t="s">
        <v>542</v>
      </c>
      <c r="H895" s="105">
        <f>'Справка 6'!R26</f>
        <v>266312.3391100001</v>
      </c>
    </row>
    <row r="896" spans="1:8" ht="1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44012</v>
      </c>
      <c r="D896" s="105" t="s">
        <v>560</v>
      </c>
      <c r="E896" s="493">
        <v>15</v>
      </c>
      <c r="F896" s="105" t="s">
        <v>863</v>
      </c>
      <c r="H896" s="105">
        <f>'Справка 6'!R27</f>
        <v>270191.59016000014</v>
      </c>
    </row>
    <row r="897" spans="1:8" ht="1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44012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44012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44012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44012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44012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44012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44012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44012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44012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44012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44012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44012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44012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44012</v>
      </c>
      <c r="D910" s="105" t="s">
        <v>583</v>
      </c>
      <c r="E910" s="493">
        <v>15</v>
      </c>
      <c r="F910" s="105" t="s">
        <v>582</v>
      </c>
      <c r="H910" s="105">
        <f>'Справка 6'!R42</f>
        <v>288787.31855000014</v>
      </c>
    </row>
    <row r="911" spans="3:6" s="494" customFormat="1" ht="15">
      <c r="C911" s="577"/>
      <c r="F911" s="498" t="s">
        <v>864</v>
      </c>
    </row>
    <row r="912" spans="1:8" ht="1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44012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44012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44012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44012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44012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44012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44012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96.63917000000004</v>
      </c>
    </row>
    <row r="919" spans="1:8" ht="1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44012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44012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96.63917000000004</v>
      </c>
    </row>
    <row r="921" spans="1:8" ht="1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44012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96.63917000000004</v>
      </c>
    </row>
    <row r="922" spans="1:8" ht="1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44012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9634</v>
      </c>
    </row>
    <row r="923" spans="1:8" ht="1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44012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1684</v>
      </c>
    </row>
    <row r="924" spans="1:8" ht="1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44012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44012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44012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1684</v>
      </c>
    </row>
    <row r="927" spans="1:8" ht="1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44012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41576</v>
      </c>
    </row>
    <row r="928" spans="1:8" ht="1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44012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44012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44012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44012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44012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44012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44012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44012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44012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44012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44012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44012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44012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44012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44012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43260</v>
      </c>
    </row>
    <row r="943" spans="1:8" ht="1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44012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52990.63917</v>
      </c>
    </row>
    <row r="944" spans="1:8" ht="1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44012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44012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44012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44012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44012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44012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44012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44012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44012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44012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44012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44012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1684</v>
      </c>
    </row>
    <row r="956" spans="1:8" ht="1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44012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44012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44012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1684</v>
      </c>
    </row>
    <row r="959" spans="1:8" ht="1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44012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41576</v>
      </c>
    </row>
    <row r="960" spans="1:8" ht="1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44012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44012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44012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44012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44012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44012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44012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44012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44012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44012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44012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44012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44012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44012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44012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43260</v>
      </c>
    </row>
    <row r="975" spans="1:8" ht="1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44012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43260</v>
      </c>
    </row>
    <row r="976" spans="1:8" ht="1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44012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44012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44012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44012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44012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44012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44012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96.63917000000004</v>
      </c>
    </row>
    <row r="983" spans="1:8" ht="1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44012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44012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96.63917000000004</v>
      </c>
    </row>
    <row r="985" spans="1:8" ht="1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44012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96.63917000000004</v>
      </c>
    </row>
    <row r="986" spans="1:8" ht="1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44012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9634</v>
      </c>
    </row>
    <row r="987" spans="1:8" ht="1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44012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44012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44012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44012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44012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44012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44012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44012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44012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44012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44012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44012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44012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44012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44012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44012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44012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44012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44012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44012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44012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9730.63917</v>
      </c>
    </row>
    <row r="1008" spans="1:8" ht="1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44012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44012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44012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44012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44012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32255</v>
      </c>
    </row>
    <row r="1013" spans="1:8" ht="1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44012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32255</v>
      </c>
    </row>
    <row r="1014" spans="1:8" ht="1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44012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44012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44012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44012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44012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44012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44012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10333</v>
      </c>
    </row>
    <row r="1021" spans="1:8" ht="1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44012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1977</v>
      </c>
    </row>
    <row r="1022" spans="1:8" ht="1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44012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42588</v>
      </c>
    </row>
    <row r="1023" spans="1:8" ht="1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44012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44012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4527</v>
      </c>
    </row>
    <row r="1025" spans="1:8" ht="1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44012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44012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44012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4527</v>
      </c>
    </row>
    <row r="1028" spans="1:8" ht="1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44012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44012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44012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44012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44012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44012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44012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44012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44012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44012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44012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30946</v>
      </c>
    </row>
    <row r="1039" spans="1:8" ht="1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44012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44012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21558</v>
      </c>
    </row>
    <row r="1041" spans="1:8" ht="1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44012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44012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4841</v>
      </c>
    </row>
    <row r="1043" spans="1:8" ht="1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44012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3620</v>
      </c>
    </row>
    <row r="1044" spans="1:8" ht="1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44012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1101</v>
      </c>
    </row>
    <row r="1045" spans="1:8" ht="1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44012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2233</v>
      </c>
    </row>
    <row r="1046" spans="1:8" ht="1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44012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286</v>
      </c>
    </row>
    <row r="1047" spans="1:8" ht="1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44012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927</v>
      </c>
    </row>
    <row r="1048" spans="1:8" ht="1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44012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4133</v>
      </c>
    </row>
    <row r="1049" spans="1:8" ht="1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44012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39606</v>
      </c>
    </row>
    <row r="1050" spans="1:8" ht="1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44012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82194</v>
      </c>
    </row>
    <row r="1051" spans="1:8" ht="1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44012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44012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44012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44012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44012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17326</v>
      </c>
    </row>
    <row r="1056" spans="1:8" ht="1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44012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17326</v>
      </c>
    </row>
    <row r="1057" spans="1:8" ht="1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44012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44012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44012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44012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44012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44012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44012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952</v>
      </c>
    </row>
    <row r="1064" spans="1:8" ht="1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44012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952</v>
      </c>
    </row>
    <row r="1065" spans="1:8" ht="1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44012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18278</v>
      </c>
    </row>
    <row r="1066" spans="1:8" ht="1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44012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44012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4527</v>
      </c>
    </row>
    <row r="1068" spans="1:8" ht="1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44012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44012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44012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4527</v>
      </c>
    </row>
    <row r="1071" spans="1:8" ht="1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44012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44012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44012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44012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44012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44012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44012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44012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44012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44012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44012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30946</v>
      </c>
    </row>
    <row r="1082" spans="1:8" ht="1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44012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44012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21558</v>
      </c>
    </row>
    <row r="1084" spans="1:8" ht="1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44012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44012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4841</v>
      </c>
    </row>
    <row r="1086" spans="1:8" ht="1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44012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3620</v>
      </c>
    </row>
    <row r="1087" spans="1:8" ht="1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44012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1101</v>
      </c>
    </row>
    <row r="1088" spans="1:8" ht="1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44012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2233</v>
      </c>
    </row>
    <row r="1089" spans="1:8" ht="1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44012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286</v>
      </c>
    </row>
    <row r="1090" spans="1:8" ht="1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44012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927</v>
      </c>
    </row>
    <row r="1091" spans="1:8" ht="1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44012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4133</v>
      </c>
    </row>
    <row r="1092" spans="1:8" ht="1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44012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39606</v>
      </c>
    </row>
    <row r="1093" spans="1:8" ht="1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44012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57884</v>
      </c>
    </row>
    <row r="1094" spans="1:8" ht="1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44012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44012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44012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44012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44012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14929</v>
      </c>
    </row>
    <row r="1099" spans="1:8" ht="1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44012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14929</v>
      </c>
    </row>
    <row r="1100" spans="1:8" ht="1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44012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44012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44012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44012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44012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44012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44012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9381</v>
      </c>
    </row>
    <row r="1107" spans="1:8" ht="1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44012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1025</v>
      </c>
    </row>
    <row r="1108" spans="1:8" ht="1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44012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24310</v>
      </c>
    </row>
    <row r="1109" spans="1:8" ht="1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44012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44012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44012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44012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44012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44012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44012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44012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44012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44012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44012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44012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44012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44012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44012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44012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44012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44012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44012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44012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44012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44012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44012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44012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44012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44012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44012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44012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24310</v>
      </c>
    </row>
    <row r="1137" spans="1:8" ht="1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44012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44012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44012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44012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44012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44012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44012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44012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44012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44012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44012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44012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44012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44012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44012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44012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44012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44012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44012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44012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44012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44012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44012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44012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44012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44012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44012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44012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44012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44012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44012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44012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44012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44012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44012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44012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44012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44012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44012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44012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44012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44012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44012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44012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1483</v>
      </c>
    </row>
    <row r="1181" spans="1:8" ht="1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44012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44012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1089</v>
      </c>
    </row>
    <row r="1183" spans="1:8" ht="1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44012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2572</v>
      </c>
    </row>
    <row r="1184" spans="1:8" ht="1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44012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42</v>
      </c>
    </row>
    <row r="1185" spans="1:8" ht="1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44012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44012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44012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42</v>
      </c>
    </row>
    <row r="1188" spans="1:8" ht="1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44012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68</v>
      </c>
    </row>
    <row r="1189" spans="1:8" ht="1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44012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44012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44012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68</v>
      </c>
    </row>
    <row r="1192" spans="1:8" ht="1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44012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1457</v>
      </c>
    </row>
    <row r="1193" spans="1:8" ht="1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44012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44012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1089</v>
      </c>
    </row>
    <row r="1195" spans="1:8" ht="1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44012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2546</v>
      </c>
    </row>
    <row r="1196" spans="3:6" s="494" customFormat="1" ht="15">
      <c r="C1196" s="577"/>
      <c r="F1196" s="498" t="s">
        <v>877</v>
      </c>
    </row>
    <row r="1197" spans="1:8" ht="1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44012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44012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44012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44012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44012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44012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44012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44012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44012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44012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44012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44012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44012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44012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44012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44012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44012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44012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44012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44012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44012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44012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44012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44012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44012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44012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44012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44012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44012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44012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44012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44012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44012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44012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44012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44012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44012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44012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44012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44012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44012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44012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44012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44012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44012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44012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44012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44012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44012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44012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44012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44012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44012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44012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44012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44012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44012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44012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44012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44012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44012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44012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44012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44012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44012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44012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44012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44012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44012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44012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44012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44012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44012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44012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44012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44012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44012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44012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44012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44012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44012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44012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44012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44012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44012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44012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44012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44012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44012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44012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44012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44012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44012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44012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44012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">
      <c r="C1295" s="577"/>
      <c r="F1295" s="498" t="s">
        <v>878</v>
      </c>
    </row>
    <row r="1296" spans="1:8" ht="1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44012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44012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44012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44012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44012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44012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44012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44012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44012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44012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44012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44012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44012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44012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44012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44012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44012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44012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44012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44012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44012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44012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44012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44012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44012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44012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44012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44012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44012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44012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44012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44012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44012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44012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44012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44012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44012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44012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44012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2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">
      <c r="A12" s="89" t="s">
        <v>23</v>
      </c>
      <c r="B12" s="91" t="s">
        <v>24</v>
      </c>
      <c r="C12" s="197">
        <f>'Справка 6'!R11</f>
        <v>185</v>
      </c>
      <c r="D12" s="196">
        <f>'[7]1-Баланс'!$C$12</f>
        <v>185</v>
      </c>
      <c r="E12" s="89" t="s">
        <v>25</v>
      </c>
      <c r="F12" s="93" t="s">
        <v>26</v>
      </c>
      <c r="G12" s="197">
        <f>'[8]BS_KPMG'!$W$29</f>
        <v>8884</v>
      </c>
      <c r="H12" s="196">
        <f>'[7]1-Баланс'!$G$12</f>
        <v>8884</v>
      </c>
    </row>
    <row r="13" spans="1:8" ht="15">
      <c r="A13" s="89" t="s">
        <v>27</v>
      </c>
      <c r="B13" s="91" t="s">
        <v>28</v>
      </c>
      <c r="C13" s="197">
        <f>'Справка 6'!R12</f>
        <v>1083</v>
      </c>
      <c r="D13" s="196">
        <f>'[7]1-Баланс'!C13</f>
        <v>655</v>
      </c>
      <c r="E13" s="89" t="s">
        <v>846</v>
      </c>
      <c r="F13" s="93" t="s">
        <v>29</v>
      </c>
      <c r="G13" s="197">
        <f>G12</f>
        <v>8884</v>
      </c>
      <c r="H13" s="196">
        <f>'[7]1-Баланс'!G13</f>
        <v>8884</v>
      </c>
    </row>
    <row r="14" spans="1:8" ht="15">
      <c r="A14" s="89" t="s">
        <v>30</v>
      </c>
      <c r="B14" s="91" t="s">
        <v>31</v>
      </c>
      <c r="C14" s="197">
        <f>'Справка 6'!R13</f>
        <v>9481.793140000002</v>
      </c>
      <c r="D14" s="196">
        <f>'[7]1-Баланс'!C14</f>
        <v>10787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f>'[1]справка №1-БАЛАНС'!C14</f>
        <v>0</v>
      </c>
      <c r="D15" s="196">
        <f>'[7]1-Баланс'!C15</f>
        <v>0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f>'Справка 6'!R15</f>
        <v>7082.2484</v>
      </c>
      <c r="D16" s="196">
        <f>'[7]1-Баланс'!C16</f>
        <v>7985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f>'Справка 6'!R16</f>
        <v>0</v>
      </c>
      <c r="D17" s="196">
        <f>'[7]1-Баланс'!C17</f>
        <v>0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f>'Справка 6'!R17</f>
        <v>-0.31315000000086</v>
      </c>
      <c r="D18" s="196"/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">
      <c r="A19" s="89" t="s">
        <v>49</v>
      </c>
      <c r="B19" s="91" t="s">
        <v>50</v>
      </c>
      <c r="C19" s="197">
        <f>'Справка 6'!R18</f>
        <v>764</v>
      </c>
      <c r="D19" s="196">
        <f>'[7]1-Баланс'!C19</f>
        <v>812.3131500000009</v>
      </c>
      <c r="E19" s="100" t="s">
        <v>51</v>
      </c>
      <c r="F19" s="95"/>
      <c r="G19" s="608"/>
      <c r="H19" s="609"/>
    </row>
    <row r="20" spans="1:8" ht="15">
      <c r="A20" s="479" t="s">
        <v>52</v>
      </c>
      <c r="B20" s="96" t="s">
        <v>53</v>
      </c>
      <c r="C20" s="594">
        <f>SUM(C12:C19)</f>
        <v>18595.72839</v>
      </c>
      <c r="D20" s="595">
        <f>SUM(D12:D19)</f>
        <v>20424.31315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'[8]BS_KPMG'!$P$34</f>
        <v>-469</v>
      </c>
      <c r="H21" s="196">
        <f>'[7]1-Баланс'!$G$21</f>
        <v>-469</v>
      </c>
    </row>
    <row r="22" spans="1:13" ht="1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'[8]BS_KPMG'!$W$30</f>
        <v>10774</v>
      </c>
      <c r="H23" s="196">
        <f>'[7]1-Баланс'!$G$23</f>
        <v>10774</v>
      </c>
    </row>
    <row r="24" spans="1:13" ht="15">
      <c r="A24" s="89" t="s">
        <v>67</v>
      </c>
      <c r="B24" s="91" t="s">
        <v>68</v>
      </c>
      <c r="C24" s="197"/>
      <c r="D24" s="196">
        <f>'[7]1-Баланс'!C24</f>
        <v>0</v>
      </c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f>'Справка 6'!R24</f>
        <v>3876.479250000004</v>
      </c>
      <c r="D25" s="196">
        <f>'[7]1-Баланс'!C25</f>
        <v>4196.759410000002</v>
      </c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>
        <f>'Справка 6'!R25</f>
        <v>2.7718000000022585</v>
      </c>
      <c r="D26" s="196">
        <f>'[7]1-Баланс'!C26</f>
        <v>3.017440000003262</v>
      </c>
      <c r="E26" s="481" t="s">
        <v>77</v>
      </c>
      <c r="F26" s="95" t="s">
        <v>78</v>
      </c>
      <c r="G26" s="594">
        <f>G20+G21+G22</f>
        <v>10305</v>
      </c>
      <c r="H26" s="595">
        <f>H20+H21+H22</f>
        <v>10305</v>
      </c>
      <c r="M26" s="98"/>
    </row>
    <row r="27" spans="1:8" ht="15">
      <c r="A27" s="89" t="s">
        <v>79</v>
      </c>
      <c r="B27" s="91" t="s">
        <v>80</v>
      </c>
      <c r="C27" s="197">
        <f>'Справка 6'!R26</f>
        <v>266312.3391100001</v>
      </c>
      <c r="D27" s="196">
        <f>'[7]1-Баланс'!$C$27</f>
        <v>277016.79884000006</v>
      </c>
      <c r="E27" s="100" t="s">
        <v>81</v>
      </c>
      <c r="F27" s="95"/>
      <c r="G27" s="608"/>
      <c r="H27" s="609"/>
    </row>
    <row r="28" spans="1:13" ht="15">
      <c r="A28" s="479" t="s">
        <v>82</v>
      </c>
      <c r="B28" s="97" t="s">
        <v>83</v>
      </c>
      <c r="C28" s="594">
        <f>SUM(C24:C27)</f>
        <v>270191.59016000014</v>
      </c>
      <c r="D28" s="595">
        <f>SUM(D24:D27)</f>
        <v>281216.5756900001</v>
      </c>
      <c r="E28" s="202" t="s">
        <v>84</v>
      </c>
      <c r="F28" s="93" t="s">
        <v>85</v>
      </c>
      <c r="G28" s="592">
        <f>SUM(G29:G31)</f>
        <v>274868.41345</v>
      </c>
      <c r="H28" s="593">
        <f>SUM(H29:H31)</f>
        <v>238393</v>
      </c>
      <c r="M28" s="98"/>
    </row>
    <row r="29" spans="1:8" ht="15">
      <c r="A29" s="89"/>
      <c r="B29" s="91"/>
      <c r="C29" s="592"/>
      <c r="D29" s="593"/>
      <c r="E29" s="89" t="s">
        <v>86</v>
      </c>
      <c r="F29" s="93" t="s">
        <v>87</v>
      </c>
      <c r="G29" s="197">
        <f>H34</f>
        <v>274868.41345</v>
      </c>
      <c r="H29" s="196">
        <f>'[7]1-Баланс'!$G$29</f>
        <v>238393</v>
      </c>
    </row>
    <row r="30" spans="1:13" ht="1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ROUND('2-Отчет за доходите'!C44,0)</f>
        <v>18871</v>
      </c>
      <c r="H32" s="196">
        <f>'[7]1-Баланс'!$G$32</f>
        <v>36475.41344999999</v>
      </c>
      <c r="M32" s="98"/>
    </row>
    <row r="33" spans="1:8" ht="1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293739.41345</v>
      </c>
      <c r="H34" s="595">
        <f>H28+H32+H33</f>
        <v>274868.41345</v>
      </c>
    </row>
    <row r="35" spans="1:8" ht="1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">
      <c r="A36" s="89" t="s">
        <v>108</v>
      </c>
      <c r="B36" s="91" t="s">
        <v>109</v>
      </c>
      <c r="C36" s="197">
        <f>'[6]BS_KPMG'!$W$11</f>
        <v>5</v>
      </c>
      <c r="D36" s="196">
        <f>'[7]1-Баланс'!$C$36</f>
        <v>5</v>
      </c>
      <c r="E36" s="203"/>
      <c r="F36" s="101"/>
      <c r="G36" s="612"/>
      <c r="H36" s="613"/>
    </row>
    <row r="37" spans="1:8" ht="1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312928.41345</v>
      </c>
      <c r="H37" s="597">
        <f>H26+H18+H34</f>
        <v>294057.41345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'[8]BS_KPMG'!$W$36+'[8]BS_KPMG'!$W$37</f>
        <v>15954</v>
      </c>
      <c r="H45" s="196">
        <f>'[7]1-Баланс'!G45</f>
        <v>23133</v>
      </c>
    </row>
    <row r="46" spans="1:13" ht="1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SUM('[8]BS_KPMG'!$W$38:$W$40)</f>
        <v>8356</v>
      </c>
      <c r="H49" s="196">
        <f>'[7]1-Баланс'!G49</f>
        <v>8003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24310</v>
      </c>
      <c r="H50" s="593">
        <f>SUM(H44:H49)</f>
        <v>31136</v>
      </c>
    </row>
    <row r="51" spans="1:8" ht="15">
      <c r="A51" s="89" t="s">
        <v>79</v>
      </c>
      <c r="B51" s="91" t="s">
        <v>155</v>
      </c>
      <c r="C51" s="197">
        <f>'[8]IAS'!$AO$19/1000+1</f>
        <v>96.63917000000004</v>
      </c>
      <c r="D51" s="196">
        <f>'[7]1-Баланс'!$C$51</f>
        <v>174.5939099999999</v>
      </c>
      <c r="E51" s="89"/>
      <c r="F51" s="93"/>
      <c r="G51" s="592"/>
      <c r="H51" s="593"/>
    </row>
    <row r="52" spans="1:8" ht="15">
      <c r="A52" s="479" t="s">
        <v>156</v>
      </c>
      <c r="B52" s="96" t="s">
        <v>157</v>
      </c>
      <c r="C52" s="594">
        <f>SUM(C48:C51)</f>
        <v>96.63917000000004</v>
      </c>
      <c r="D52" s="595">
        <f>SUM(D48:D51)</f>
        <v>174.5939099999999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5">
        <f>'[8]BS_KPMG'!$W$12</f>
        <v>9634</v>
      </c>
      <c r="D55" s="476">
        <f>'[7]1-Баланс'!$C$55</f>
        <v>8907</v>
      </c>
      <c r="E55" s="89" t="s">
        <v>168</v>
      </c>
      <c r="F55" s="95" t="s">
        <v>169</v>
      </c>
      <c r="G55" s="197"/>
      <c r="H55" s="196"/>
    </row>
    <row r="56" spans="1:13" ht="15.75" thickBot="1">
      <c r="A56" s="472" t="s">
        <v>170</v>
      </c>
      <c r="B56" s="208" t="s">
        <v>171</v>
      </c>
      <c r="C56" s="598">
        <f>C20+C21+C22+C28+C33+C46+C52+C54+C55</f>
        <v>298522.9577200001</v>
      </c>
      <c r="D56" s="599">
        <f>D20+D21+D22+D28+D33+D46+D52+D54+D55</f>
        <v>310727.4827500001</v>
      </c>
      <c r="E56" s="100" t="s">
        <v>850</v>
      </c>
      <c r="F56" s="99" t="s">
        <v>172</v>
      </c>
      <c r="G56" s="596">
        <f>G50+G52+G53+G54+G55</f>
        <v>24310</v>
      </c>
      <c r="H56" s="597">
        <f>H50+H52+H53+H54+H55</f>
        <v>31136</v>
      </c>
      <c r="M56" s="98"/>
    </row>
    <row r="57" spans="1:8" ht="1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0.75">
      <c r="A59" s="89" t="s">
        <v>176</v>
      </c>
      <c r="B59" s="91" t="s">
        <v>177</v>
      </c>
      <c r="C59" s="197">
        <f>'[8]BS_KPMG'!$W$17</f>
        <v>5107</v>
      </c>
      <c r="D59" s="196">
        <f>'[7]1-Баланс'!$C$59</f>
        <v>2344</v>
      </c>
      <c r="E59" s="201" t="s">
        <v>180</v>
      </c>
      <c r="F59" s="483" t="s">
        <v>181</v>
      </c>
      <c r="G59" s="197">
        <f>ROUND('[8]BS_KPMG'!$W$44+'[8]BS_KPMG'!$W$45,0)</f>
        <v>18278</v>
      </c>
      <c r="H59" s="196">
        <f>'[7]1-Баланс'!$G$59</f>
        <v>23539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35473</v>
      </c>
      <c r="H61" s="593">
        <f>SUM(H62:H68)</f>
        <v>44393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ROUND('[8]BS_KPMG'!$W$49,0)</f>
        <v>4527</v>
      </c>
      <c r="H62" s="196">
        <f>'[7]1-Баланс'!G62</f>
        <v>3653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'[7]1-Баланс'!G63</f>
        <v>0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ROUND('[8]NoteBS'!$E$54+'[8]NoteBS'!$E$55+'[8]NoteBS'!$E$57+'[8]NoteBS'!$E$67+'[8]BS_KPMG'!$W$47,0)+1</f>
        <v>21558</v>
      </c>
      <c r="H64" s="196">
        <f>'[7]1-Баланс'!G64</f>
        <v>32130</v>
      </c>
      <c r="M64" s="98"/>
    </row>
    <row r="65" spans="1:8" ht="15">
      <c r="A65" s="479" t="s">
        <v>52</v>
      </c>
      <c r="B65" s="96" t="s">
        <v>198</v>
      </c>
      <c r="C65" s="594">
        <f>SUM(C59:C64)</f>
        <v>5107</v>
      </c>
      <c r="D65" s="595">
        <f>SUM(D59:D64)</f>
        <v>2344</v>
      </c>
      <c r="E65" s="89" t="s">
        <v>201</v>
      </c>
      <c r="F65" s="93" t="s">
        <v>202</v>
      </c>
      <c r="G65" s="197"/>
      <c r="H65" s="196">
        <f>'[7]1-Баланс'!G65</f>
        <v>0</v>
      </c>
    </row>
    <row r="66" spans="1:8" ht="15">
      <c r="A66" s="89"/>
      <c r="B66" s="96"/>
      <c r="C66" s="592"/>
      <c r="D66" s="593"/>
      <c r="E66" s="89" t="s">
        <v>204</v>
      </c>
      <c r="F66" s="93" t="s">
        <v>205</v>
      </c>
      <c r="G66" s="197">
        <f>ROUND('[8]NoteBS'!$E$56,0)</f>
        <v>4841</v>
      </c>
      <c r="H66" s="196">
        <f>'[7]1-Баланс'!G66</f>
        <v>5530</v>
      </c>
    </row>
    <row r="67" spans="1:8" ht="1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ROUND('[8]NoteBS'!$E$62,0)</f>
        <v>927</v>
      </c>
      <c r="H67" s="196">
        <f>'[7]1-Баланс'!G67</f>
        <v>951</v>
      </c>
    </row>
    <row r="68" spans="1:8" ht="15">
      <c r="A68" s="89" t="s">
        <v>206</v>
      </c>
      <c r="B68" s="91" t="s">
        <v>207</v>
      </c>
      <c r="C68" s="197">
        <f>'[8]BS_KPMG'!$W$21</f>
        <v>1684</v>
      </c>
      <c r="D68" s="196">
        <f>'[7]1-Баланс'!$C$68</f>
        <v>85</v>
      </c>
      <c r="E68" s="89" t="s">
        <v>212</v>
      </c>
      <c r="F68" s="93" t="s">
        <v>213</v>
      </c>
      <c r="G68" s="197">
        <f>ROUND('[8]BS_KPMG'!$W$48+'[8]NoteBS'!$E$65+'[8]NoteBS'!$E$66,0)</f>
        <v>3620</v>
      </c>
      <c r="H68" s="196">
        <f>'[7]1-Баланс'!G68</f>
        <v>2129</v>
      </c>
    </row>
    <row r="69" spans="1:8" ht="15">
      <c r="A69" s="89" t="s">
        <v>210</v>
      </c>
      <c r="B69" s="91" t="s">
        <v>211</v>
      </c>
      <c r="C69" s="197">
        <f>'[8]BS_KPMG'!$W$19+'[8]BS_KPMG'!$W$20</f>
        <v>41576</v>
      </c>
      <c r="D69" s="196">
        <f>'[7]1-Баланс'!$C$69</f>
        <v>38728</v>
      </c>
      <c r="E69" s="201" t="s">
        <v>79</v>
      </c>
      <c r="F69" s="93" t="s">
        <v>216</v>
      </c>
      <c r="G69" s="197">
        <f>ROUND('[8]NoteBS'!$G$63+'[8]NoteBS'!$E$64+'[8]BS_KPMG'!$W$46+'[8]BS_KPMG'!$W$52+'[8]NoteBS'!$G$59,0)</f>
        <v>4133</v>
      </c>
      <c r="H69" s="196">
        <f>'[7]1-Баланс'!G69</f>
        <v>6185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ROUND('[8]BS_KPMG'!$W$51,0)</f>
        <v>2546</v>
      </c>
      <c r="H70" s="196">
        <f>'[7]1-Баланс'!G70</f>
        <v>2573</v>
      </c>
    </row>
    <row r="71" spans="1:8" ht="1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60430</v>
      </c>
      <c r="H71" s="595">
        <f>H59+H60+H61+H69+H70</f>
        <v>76690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">
      <c r="A73" s="89" t="s">
        <v>224</v>
      </c>
      <c r="B73" s="91" t="s">
        <v>225</v>
      </c>
      <c r="C73" s="197">
        <f>'[5]BS_KPMG'!$W$19</f>
        <v>0</v>
      </c>
      <c r="D73" s="196">
        <f>'[7]1-Баланс'!C73</f>
        <v>0</v>
      </c>
      <c r="E73" s="470" t="s">
        <v>230</v>
      </c>
      <c r="F73" s="95" t="s">
        <v>231</v>
      </c>
      <c r="G73" s="475"/>
      <c r="H73" s="476"/>
    </row>
    <row r="74" spans="1:8" ht="1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">
      <c r="A76" s="479" t="s">
        <v>77</v>
      </c>
      <c r="B76" s="96" t="s">
        <v>232</v>
      </c>
      <c r="C76" s="594">
        <f>SUM(C68:C75)</f>
        <v>43260</v>
      </c>
      <c r="D76" s="595">
        <f>SUM(D68:D75)</f>
        <v>38813</v>
      </c>
      <c r="E76" s="567"/>
      <c r="F76" s="568"/>
      <c r="G76" s="592"/>
      <c r="H76" s="618"/>
    </row>
    <row r="77" spans="1:8" ht="1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60430</v>
      </c>
      <c r="H79" s="597">
        <f>H71+H73+H75+H77</f>
        <v>76690</v>
      </c>
    </row>
    <row r="80" spans="1:8" ht="1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">
      <c r="A88" s="89" t="s">
        <v>252</v>
      </c>
      <c r="B88" s="91" t="s">
        <v>253</v>
      </c>
      <c r="C88" s="197">
        <f>'[8]NoteBS'!$E$40</f>
        <v>60</v>
      </c>
      <c r="D88" s="196">
        <f>'[7]1-Баланс'!$C$88</f>
        <v>46</v>
      </c>
      <c r="E88" s="207"/>
      <c r="F88" s="103"/>
      <c r="G88" s="619"/>
      <c r="H88" s="620"/>
      <c r="M88" s="98"/>
    </row>
    <row r="89" spans="1:8" ht="15">
      <c r="A89" s="89" t="s">
        <v>254</v>
      </c>
      <c r="B89" s="91" t="s">
        <v>255</v>
      </c>
      <c r="C89" s="197">
        <f>'[8]NoteBS'!$E$43+'[8]IAS'!$G$19/1000</f>
        <v>50717.93025</v>
      </c>
      <c r="D89" s="196">
        <f>'[7]1-Баланс'!$C$89</f>
        <v>49952.93025</v>
      </c>
      <c r="E89" s="204"/>
      <c r="F89" s="103"/>
      <c r="G89" s="619"/>
      <c r="H89" s="620"/>
    </row>
    <row r="90" spans="1:13" ht="15">
      <c r="A90" s="89" t="s">
        <v>256</v>
      </c>
      <c r="B90" s="91" t="s">
        <v>257</v>
      </c>
      <c r="C90" s="197"/>
      <c r="D90" s="196">
        <f>'[4]1-Баланс'!C90</f>
        <v>0</v>
      </c>
      <c r="E90" s="204"/>
      <c r="F90" s="103"/>
      <c r="G90" s="619"/>
      <c r="H90" s="620"/>
      <c r="M90" s="98"/>
    </row>
    <row r="91" spans="1:8" ht="15">
      <c r="A91" s="89" t="s">
        <v>258</v>
      </c>
      <c r="B91" s="91" t="s">
        <v>259</v>
      </c>
      <c r="C91" s="197"/>
      <c r="D91" s="196">
        <f>'[4]1-Баланс'!C91</f>
        <v>0</v>
      </c>
      <c r="E91" s="204"/>
      <c r="F91" s="103"/>
      <c r="G91" s="619"/>
      <c r="H91" s="620"/>
    </row>
    <row r="92" spans="1:13" ht="15">
      <c r="A92" s="479" t="s">
        <v>848</v>
      </c>
      <c r="B92" s="96" t="s">
        <v>260</v>
      </c>
      <c r="C92" s="594">
        <f>SUM(C88:C91)</f>
        <v>50777.93025</v>
      </c>
      <c r="D92" s="595">
        <f>SUM(D88:D91)</f>
        <v>49998.93025</v>
      </c>
      <c r="E92" s="204"/>
      <c r="F92" s="103"/>
      <c r="G92" s="619"/>
      <c r="H92" s="620"/>
      <c r="M92" s="98"/>
    </row>
    <row r="93" spans="1:8" ht="1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5.75" thickBot="1">
      <c r="A94" s="487" t="s">
        <v>263</v>
      </c>
      <c r="B94" s="226" t="s">
        <v>264</v>
      </c>
      <c r="C94" s="598">
        <f>C65+C76+C85+C92+C93</f>
        <v>99144.93025</v>
      </c>
      <c r="D94" s="599">
        <f>D65+D76+D85+D92+D93</f>
        <v>91155.93025</v>
      </c>
      <c r="E94" s="227"/>
      <c r="F94" s="228"/>
      <c r="G94" s="621"/>
      <c r="H94" s="622"/>
      <c r="M94" s="98"/>
    </row>
    <row r="95" spans="1:8" ht="30" thickBot="1">
      <c r="A95" s="484" t="s">
        <v>265</v>
      </c>
      <c r="B95" s="485" t="s">
        <v>266</v>
      </c>
      <c r="C95" s="600">
        <f>C94+C56</f>
        <v>397667.88797000016</v>
      </c>
      <c r="D95" s="601">
        <f>D94+D56</f>
        <v>401883.41300000006</v>
      </c>
      <c r="E95" s="229" t="s">
        <v>942</v>
      </c>
      <c r="F95" s="486" t="s">
        <v>268</v>
      </c>
      <c r="G95" s="600">
        <f>G37+G40+G56+G79</f>
        <v>397668.41345</v>
      </c>
      <c r="H95" s="601">
        <f>H37+H40+H56+H79</f>
        <v>401883.41345</v>
      </c>
    </row>
    <row r="96" spans="1:13" ht="15">
      <c r="A96" s="174"/>
      <c r="B96" s="569"/>
      <c r="C96" s="174"/>
      <c r="D96" s="174"/>
      <c r="E96" s="570"/>
      <c r="M96" s="98"/>
    </row>
    <row r="97" spans="1:13" ht="15">
      <c r="A97" s="572"/>
      <c r="B97" s="569"/>
      <c r="C97" s="174"/>
      <c r="D97" s="174"/>
      <c r="E97" s="570"/>
      <c r="M97" s="98"/>
    </row>
    <row r="98" spans="1:13" ht="15">
      <c r="A98" s="691" t="s">
        <v>977</v>
      </c>
      <c r="B98" s="710">
        <f>pdeReportingDate</f>
        <v>44042</v>
      </c>
      <c r="C98" s="710"/>
      <c r="D98" s="710"/>
      <c r="E98" s="710"/>
      <c r="F98" s="710"/>
      <c r="G98" s="710"/>
      <c r="H98" s="710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11" t="str">
        <f>authorName</f>
        <v>Анелия Илиева Илиева</v>
      </c>
      <c r="C100" s="711"/>
      <c r="D100" s="711"/>
      <c r="E100" s="711"/>
      <c r="F100" s="711"/>
      <c r="G100" s="711"/>
      <c r="H100" s="711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3"/>
      <c r="B103" s="713" t="str">
        <f>Начална!B17</f>
        <v>Васил Борисов Тренев</v>
      </c>
      <c r="C103" s="709"/>
      <c r="D103" s="709"/>
      <c r="E103" s="709"/>
      <c r="M103" s="98"/>
    </row>
    <row r="104" spans="1:5" ht="21.75" customHeight="1">
      <c r="A104" s="693"/>
      <c r="B104" s="709" t="s">
        <v>979</v>
      </c>
      <c r="C104" s="709"/>
      <c r="D104" s="709"/>
      <c r="E104" s="709"/>
    </row>
    <row r="105" spans="1:13" ht="21.75" customHeight="1">
      <c r="A105" s="693"/>
      <c r="B105" s="709" t="s">
        <v>979</v>
      </c>
      <c r="C105" s="709"/>
      <c r="D105" s="709"/>
      <c r="E105" s="709"/>
      <c r="M105" s="98"/>
    </row>
    <row r="106" spans="1:5" ht="21.75" customHeight="1">
      <c r="A106" s="693"/>
      <c r="B106" s="708">
        <f>D95-'[7]1-Баланс'!$C$95</f>
        <v>0.31314999994356185</v>
      </c>
      <c r="C106" s="709"/>
      <c r="D106" s="709"/>
      <c r="E106" s="709"/>
    </row>
    <row r="107" spans="1:13" ht="21.75" customHeight="1">
      <c r="A107" s="707">
        <f>D95-H95</f>
        <v>-0.0004499999340623617</v>
      </c>
      <c r="B107" s="708">
        <f>'[8]BS_KPMG'!$W$25-C95</f>
        <v>0.11202999984379858</v>
      </c>
      <c r="C107" s="709"/>
      <c r="D107" s="709"/>
      <c r="E107" s="709"/>
      <c r="M107" s="98"/>
    </row>
    <row r="108" spans="1:5" ht="21.75" customHeight="1">
      <c r="A108" s="693"/>
      <c r="B108" s="708">
        <f>G95-'[8]BS_KPMG'!$W$57</f>
        <v>0.4134499999927357</v>
      </c>
      <c r="C108" s="709"/>
      <c r="D108" s="709"/>
      <c r="E108" s="709"/>
    </row>
    <row r="109" spans="1:13" ht="21.75" customHeight="1">
      <c r="A109" s="693"/>
      <c r="B109" s="708">
        <f>H95-'[7]1-Баланс'!$G$95</f>
        <v>0</v>
      </c>
      <c r="C109" s="709"/>
      <c r="D109" s="709"/>
      <c r="E109" s="709"/>
      <c r="M109" s="98"/>
    </row>
    <row r="117" ht="15">
      <c r="E117" s="573"/>
    </row>
    <row r="119" spans="5:13" ht="15">
      <c r="E119" s="573"/>
      <c r="M119" s="98"/>
    </row>
    <row r="121" spans="5:13" ht="15">
      <c r="E121" s="573"/>
      <c r="M121" s="98"/>
    </row>
    <row r="123" ht="15">
      <c r="E123" s="573"/>
    </row>
    <row r="125" spans="5:13" ht="15">
      <c r="E125" s="573"/>
      <c r="M125" s="98"/>
    </row>
    <row r="127" spans="5:13" ht="15">
      <c r="E127" s="573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3"/>
      <c r="M135" s="98"/>
    </row>
    <row r="137" spans="5:13" ht="15">
      <c r="E137" s="573"/>
      <c r="M137" s="98"/>
    </row>
    <row r="139" spans="5:13" ht="15">
      <c r="E139" s="573"/>
      <c r="M139" s="98"/>
    </row>
    <row r="141" spans="5:13" ht="15">
      <c r="E141" s="573"/>
      <c r="M141" s="98"/>
    </row>
    <row r="143" ht="15">
      <c r="E143" s="573"/>
    </row>
    <row r="145" ht="15">
      <c r="E145" s="573"/>
    </row>
    <row r="147" ht="15">
      <c r="E147" s="573"/>
    </row>
    <row r="149" spans="5:13" ht="15">
      <c r="E149" s="573"/>
      <c r="M149" s="98"/>
    </row>
    <row r="151" ht="15">
      <c r="M151" s="98"/>
    </row>
    <row r="153" ht="15">
      <c r="M153" s="98"/>
    </row>
    <row r="159" ht="15">
      <c r="E159" s="573"/>
    </row>
    <row r="161" spans="1:18" s="571" customFormat="1" ht="1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27" sqref="H27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f>-'[8]PL_KPMG'!AK10</f>
        <v>6630</v>
      </c>
      <c r="D12" s="316">
        <f>-'[8]PL_KPMG'!AL10</f>
        <v>6429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f>-'[8]PL_KPMG'!AK11</f>
        <v>22420</v>
      </c>
      <c r="D13" s="316">
        <f>-'[8]PL_KPMG'!AL11</f>
        <v>27300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f>-'[8]PL_KPMG'!AK12</f>
        <v>27916</v>
      </c>
      <c r="D14" s="316">
        <f>-'[8]PL_KPMG'!AL12</f>
        <v>22953</v>
      </c>
      <c r="E14" s="245" t="s">
        <v>285</v>
      </c>
      <c r="F14" s="240" t="s">
        <v>286</v>
      </c>
      <c r="G14" s="316">
        <f>'[8]PL_KPMG'!$AK$5+'[8]PL_KPMG'!$AK$6</f>
        <v>92106</v>
      </c>
      <c r="H14" s="316">
        <f>'[8]PL_KPMG'!$AL$5+'[8]PL_KPMG'!$AL$6</f>
        <v>89041</v>
      </c>
    </row>
    <row r="15" spans="1:8" ht="15">
      <c r="A15" s="194" t="s">
        <v>287</v>
      </c>
      <c r="B15" s="190" t="s">
        <v>288</v>
      </c>
      <c r="C15" s="316">
        <f>-'[8]PL_KPMG'!AK13</f>
        <v>14376</v>
      </c>
      <c r="D15" s="316">
        <f>-'[8]PL_KPMG'!AL13</f>
        <v>13876</v>
      </c>
      <c r="E15" s="245" t="s">
        <v>79</v>
      </c>
      <c r="F15" s="240" t="s">
        <v>289</v>
      </c>
      <c r="G15" s="316">
        <f>'[8]PL_KPMG'!$AK$7</f>
        <v>13156</v>
      </c>
      <c r="H15" s="316">
        <f>'[8]PL_KPMG'!$AL$7</f>
        <v>16758</v>
      </c>
    </row>
    <row r="16" spans="1:8" ht="15">
      <c r="A16" s="194" t="s">
        <v>290</v>
      </c>
      <c r="B16" s="190" t="s">
        <v>291</v>
      </c>
      <c r="C16" s="316">
        <f>-'[8]PL_KPMG'!AK14</f>
        <v>3667</v>
      </c>
      <c r="D16" s="316">
        <f>-'[8]PL_KPMG'!AL14</f>
        <v>3548</v>
      </c>
      <c r="E16" s="236" t="s">
        <v>52</v>
      </c>
      <c r="F16" s="264" t="s">
        <v>292</v>
      </c>
      <c r="G16" s="625">
        <f>SUM(G12:G15)</f>
        <v>105262</v>
      </c>
      <c r="H16" s="626">
        <f>SUM(H12:H15)</f>
        <v>105799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">
      <c r="A19" s="194" t="s">
        <v>299</v>
      </c>
      <c r="B19" s="190" t="s">
        <v>300</v>
      </c>
      <c r="C19" s="316">
        <f>-SUM('[8]PL_KPMG'!AK$15:AK$17)</f>
        <v>8815</v>
      </c>
      <c r="D19" s="316">
        <f>-SUM('[8]PL_KPMG'!$AL$15:$AL$17)</f>
        <v>7472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>
        <f>-'[8]PL_KPMG'!AK$15</f>
        <v>6329</v>
      </c>
      <c r="D20" s="316">
        <f>-'[8]PL_KPMG'!AL$15</f>
        <v>5326</v>
      </c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>
        <f>('[8]AJUR'!$L$518+'[8]AJUR'!$L$522)/1000</f>
        <v>-16</v>
      </c>
      <c r="D21" s="317">
        <f>'[9]2-Отчет за доходите'!$C$21</f>
        <v>31.89366</v>
      </c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5">
        <f>SUM(C12:C18)+C19</f>
        <v>83824</v>
      </c>
      <c r="D22" s="626">
        <f>SUM(D12:D18)+D19</f>
        <v>81578</v>
      </c>
      <c r="E22" s="194" t="s">
        <v>309</v>
      </c>
      <c r="F22" s="237" t="s">
        <v>310</v>
      </c>
      <c r="G22" s="316">
        <f>ROUND('[8]NoteP&amp;L'!$C$81/1000+'[8]NoteP&amp;L'!$C$83/1000,0)</f>
        <v>1</v>
      </c>
      <c r="H22" s="317">
        <f>'[9]2-Отчет за доходите'!$G$22</f>
        <v>4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f>-ROUND(SUM('[8]NoteP&amp;L'!$C$88:$C$94)/1000,0)</f>
        <v>419</v>
      </c>
      <c r="D25" s="316">
        <f>'[9]2-Отчет за доходите'!$C$25</f>
        <v>702</v>
      </c>
      <c r="E25" s="194" t="s">
        <v>318</v>
      </c>
      <c r="F25" s="237" t="s">
        <v>319</v>
      </c>
      <c r="G25" s="316">
        <f>ROUND('[8]NoteP&amp;L'!$C$85/1000,0)</f>
        <v>0</v>
      </c>
      <c r="H25" s="317">
        <f>'[9]2-Отчет за доходите'!$G$25</f>
        <v>0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f>'[9]2-Отчет за доходите'!$G$26</f>
        <v>0</v>
      </c>
    </row>
    <row r="27" spans="1:8" ht="30.75">
      <c r="A27" s="194" t="s">
        <v>324</v>
      </c>
      <c r="B27" s="237" t="s">
        <v>325</v>
      </c>
      <c r="C27" s="316">
        <f>-ROUND('[8]NoteP&amp;L'!$C$96/1000,0)</f>
        <v>3</v>
      </c>
      <c r="D27" s="316">
        <f>'[9]2-Отчет за доходите'!$C$27</f>
        <v>3</v>
      </c>
      <c r="E27" s="236" t="s">
        <v>104</v>
      </c>
      <c r="F27" s="238" t="s">
        <v>326</v>
      </c>
      <c r="G27" s="625">
        <f>SUM(G22:G26)</f>
        <v>1</v>
      </c>
      <c r="H27" s="626">
        <f>SUM(H22:H26)</f>
        <v>4</v>
      </c>
    </row>
    <row r="28" spans="1:8" ht="15">
      <c r="A28" s="194" t="s">
        <v>79</v>
      </c>
      <c r="B28" s="237" t="s">
        <v>327</v>
      </c>
      <c r="C28" s="316">
        <f>-'[8]NoteP&amp;L'!$C$95/1000</f>
        <v>63.59255</v>
      </c>
      <c r="D28" s="316">
        <f>'[9]2-Отчет за доходите'!$C$28</f>
        <v>34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5">
        <f>SUM(C25:C28)</f>
        <v>485.59255</v>
      </c>
      <c r="D29" s="626">
        <f>SUM(D25:D28)</f>
        <v>739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1">
        <f>C29+C22</f>
        <v>84309.59255</v>
      </c>
      <c r="D31" s="632">
        <f>D29+D22</f>
        <v>82317</v>
      </c>
      <c r="E31" s="251" t="s">
        <v>824</v>
      </c>
      <c r="F31" s="266" t="s">
        <v>331</v>
      </c>
      <c r="G31" s="253">
        <f>G16+G18+G27</f>
        <v>105263</v>
      </c>
      <c r="H31" s="254">
        <f>H16+H18+H27</f>
        <v>105803</v>
      </c>
    </row>
    <row r="32" spans="1:8" ht="15">
      <c r="A32" s="233"/>
      <c r="B32" s="186"/>
      <c r="C32" s="623"/>
      <c r="D32" s="624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20953.40745</v>
      </c>
      <c r="D33" s="244">
        <f>IF((H31-D31)&gt;0,H31-D31,0)</f>
        <v>23486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3">
        <f>C31-C34+C35</f>
        <v>84309.59255</v>
      </c>
      <c r="D36" s="634">
        <f>D31-D34+D35</f>
        <v>82317</v>
      </c>
      <c r="E36" s="262" t="s">
        <v>346</v>
      </c>
      <c r="F36" s="256" t="s">
        <v>347</v>
      </c>
      <c r="G36" s="267">
        <f>G35-G34+G31</f>
        <v>105263</v>
      </c>
      <c r="H36" s="268">
        <f>H35-H34+H31</f>
        <v>105803</v>
      </c>
    </row>
    <row r="37" spans="1:8" ht="15">
      <c r="A37" s="261" t="s">
        <v>348</v>
      </c>
      <c r="B37" s="231" t="s">
        <v>349</v>
      </c>
      <c r="C37" s="631">
        <f>IF((G36-C36)&gt;0,G36-C36,0)</f>
        <v>20953.40745</v>
      </c>
      <c r="D37" s="632">
        <f>IF((H36-D36)&gt;0,H36-D36,0)</f>
        <v>23486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5">
        <f>C39+C40+C41</f>
        <v>2082</v>
      </c>
      <c r="D38" s="626">
        <f>D39+D40+D41</f>
        <v>3142.1538713021805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f>ROUND('[8]IAS'!$F$113/1000,0)</f>
        <v>2809</v>
      </c>
      <c r="D39" s="317">
        <f>'[9]2-Отчет за доходите'!$C$39</f>
        <v>3438.4043639877113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f>ROUND('[8]IAS'!$F$115/1000,0)</f>
        <v>-727</v>
      </c>
      <c r="D40" s="317">
        <f>'[9]2-Отчет за доходите'!$C$40</f>
        <v>-296.2504926855309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>
        <f>'[2]2-Отчет за доходите'!C41</f>
        <v>0</v>
      </c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18871.40745</v>
      </c>
      <c r="D42" s="244">
        <f>+IF((H36-D36-D38)&gt;0,H36-D36-D38,0)</f>
        <v>20343.84612869782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18871.40745</v>
      </c>
      <c r="D44" s="268">
        <f>IF(H42=0,IF(D42-D43&gt;0,D42-D43+H43,0),IF(H42-H43&lt;0,H43-H42+D42,0))</f>
        <v>20343.84612869782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7">
        <f>C36+C38+C42</f>
        <v>105263</v>
      </c>
      <c r="D45" s="628">
        <f>D36+D38+D42</f>
        <v>105803</v>
      </c>
      <c r="E45" s="270" t="s">
        <v>373</v>
      </c>
      <c r="F45" s="272" t="s">
        <v>374</v>
      </c>
      <c r="G45" s="627">
        <f>G42+G36</f>
        <v>105263</v>
      </c>
      <c r="H45" s="628">
        <f>H42+H36</f>
        <v>105803</v>
      </c>
    </row>
    <row r="46" spans="1:8" ht="15">
      <c r="A46" s="32"/>
      <c r="B46" s="562"/>
      <c r="C46" s="563"/>
      <c r="D46" s="563"/>
      <c r="E46" s="564"/>
      <c r="F46" s="32"/>
      <c r="G46" s="563"/>
      <c r="H46" s="563"/>
    </row>
    <row r="47" spans="1:8" ht="15">
      <c r="A47" s="714" t="s">
        <v>978</v>
      </c>
      <c r="B47" s="714"/>
      <c r="C47" s="714"/>
      <c r="D47" s="714"/>
      <c r="E47" s="714"/>
      <c r="F47" s="32"/>
      <c r="G47" s="563"/>
      <c r="H47" s="563"/>
    </row>
    <row r="48" spans="1:8" ht="15">
      <c r="A48" s="32"/>
      <c r="B48" s="562"/>
      <c r="C48" s="563"/>
      <c r="D48" s="563"/>
      <c r="E48" s="564"/>
      <c r="F48" s="32"/>
      <c r="G48" s="563"/>
      <c r="H48" s="563"/>
    </row>
    <row r="49" spans="1:8" ht="1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">
      <c r="A50" s="691" t="s">
        <v>977</v>
      </c>
      <c r="B50" s="710">
        <f>pdeReportingDate</f>
        <v>44042</v>
      </c>
      <c r="C50" s="710"/>
      <c r="D50" s="710"/>
      <c r="E50" s="710"/>
      <c r="F50" s="710"/>
      <c r="G50" s="710"/>
      <c r="H50" s="710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11" t="str">
        <f>authorName</f>
        <v>Анелия Илиева Илиева</v>
      </c>
      <c r="C52" s="711"/>
      <c r="D52" s="711"/>
      <c r="E52" s="711"/>
      <c r="F52" s="711"/>
      <c r="G52" s="711"/>
      <c r="H52" s="711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3"/>
      <c r="B55" s="709" t="str">
        <f>'1-Баланс'!B103:E103</f>
        <v>Васил Борисов Тренев</v>
      </c>
      <c r="C55" s="709"/>
      <c r="D55" s="709"/>
      <c r="E55" s="709"/>
      <c r="F55" s="571"/>
      <c r="G55" s="45"/>
      <c r="H55" s="42"/>
    </row>
    <row r="56" spans="1:8" ht="15.75" customHeight="1">
      <c r="A56" s="693"/>
      <c r="B56" s="709" t="s">
        <v>979</v>
      </c>
      <c r="C56" s="709"/>
      <c r="D56" s="709"/>
      <c r="E56" s="709"/>
      <c r="F56" s="571"/>
      <c r="G56" s="45"/>
      <c r="H56" s="42"/>
    </row>
    <row r="57" spans="1:8" ht="15.75" customHeight="1">
      <c r="A57" s="693"/>
      <c r="B57" s="708"/>
      <c r="C57" s="709"/>
      <c r="D57" s="709"/>
      <c r="E57" s="709"/>
      <c r="F57" s="571"/>
      <c r="G57" s="45"/>
      <c r="H57" s="42"/>
    </row>
    <row r="58" spans="1:8" ht="15.75" customHeight="1">
      <c r="A58" s="693"/>
      <c r="B58" s="708"/>
      <c r="C58" s="709"/>
      <c r="D58" s="709"/>
      <c r="E58" s="709"/>
      <c r="F58" s="571"/>
      <c r="G58" s="45"/>
      <c r="H58" s="42"/>
    </row>
    <row r="59" spans="1:8" ht="15">
      <c r="A59" s="693"/>
      <c r="B59" s="709"/>
      <c r="C59" s="709"/>
      <c r="D59" s="709"/>
      <c r="E59" s="709"/>
      <c r="F59" s="571"/>
      <c r="G59" s="45"/>
      <c r="H59" s="42"/>
    </row>
    <row r="60" spans="1:8" ht="15">
      <c r="A60" s="693"/>
      <c r="B60" s="709"/>
      <c r="C60" s="709"/>
      <c r="D60" s="709"/>
      <c r="E60" s="709"/>
      <c r="F60" s="571"/>
      <c r="G60" s="45"/>
      <c r="H60" s="42"/>
    </row>
    <row r="61" spans="1:8" ht="15">
      <c r="A61" s="693"/>
      <c r="B61" s="709"/>
      <c r="C61" s="709"/>
      <c r="D61" s="709"/>
      <c r="E61" s="709"/>
      <c r="F61" s="571"/>
      <c r="G61" s="45"/>
      <c r="H61" s="42"/>
    </row>
    <row r="62" spans="1:8" ht="15">
      <c r="A62" s="32"/>
      <c r="B62" s="32"/>
      <c r="C62" s="563"/>
      <c r="D62" s="563"/>
      <c r="E62" s="32"/>
      <c r="F62" s="32"/>
      <c r="G62" s="565"/>
      <c r="H62" s="565"/>
    </row>
    <row r="63" spans="1:8" ht="15">
      <c r="A63" s="32"/>
      <c r="B63" s="32"/>
      <c r="C63" s="563"/>
      <c r="D63" s="563"/>
      <c r="E63" s="32"/>
      <c r="F63" s="32"/>
      <c r="G63" s="565"/>
      <c r="H63" s="565"/>
    </row>
    <row r="64" spans="1:8" ht="15">
      <c r="A64" s="32"/>
      <c r="B64" s="32"/>
      <c r="C64" s="563"/>
      <c r="D64" s="563"/>
      <c r="E64" s="32"/>
      <c r="F64" s="32"/>
      <c r="G64" s="565"/>
      <c r="H64" s="565"/>
    </row>
    <row r="65" spans="1:8" ht="15">
      <c r="A65" s="32"/>
      <c r="B65" s="32"/>
      <c r="C65" s="563"/>
      <c r="D65" s="563"/>
      <c r="E65" s="32"/>
      <c r="F65" s="32"/>
      <c r="G65" s="565"/>
      <c r="H65" s="565"/>
    </row>
    <row r="66" spans="1:8" ht="15">
      <c r="A66" s="32"/>
      <c r="B66" s="32"/>
      <c r="C66" s="563"/>
      <c r="D66" s="563"/>
      <c r="E66" s="32"/>
      <c r="F66" s="32"/>
      <c r="G66" s="565"/>
      <c r="H66" s="565"/>
    </row>
    <row r="67" spans="1:8" ht="15">
      <c r="A67" s="32"/>
      <c r="B67" s="32"/>
      <c r="C67" s="563"/>
      <c r="D67" s="563"/>
      <c r="E67" s="32"/>
      <c r="F67" s="32"/>
      <c r="G67" s="565"/>
      <c r="H67" s="565"/>
    </row>
    <row r="68" spans="1:8" ht="15">
      <c r="A68" s="32"/>
      <c r="B68" s="32"/>
      <c r="C68" s="563"/>
      <c r="D68" s="563"/>
      <c r="E68" s="32"/>
      <c r="F68" s="32"/>
      <c r="G68" s="565"/>
      <c r="H68" s="565"/>
    </row>
    <row r="69" spans="1:8" ht="15">
      <c r="A69" s="32"/>
      <c r="B69" s="32"/>
      <c r="C69" s="563"/>
      <c r="D69" s="563"/>
      <c r="E69" s="32"/>
      <c r="F69" s="32"/>
      <c r="G69" s="565"/>
      <c r="H69" s="565"/>
    </row>
    <row r="70" spans="1:8" ht="15">
      <c r="A70" s="32"/>
      <c r="B70" s="32"/>
      <c r="C70" s="563"/>
      <c r="D70" s="563"/>
      <c r="E70" s="32"/>
      <c r="F70" s="32"/>
      <c r="G70" s="565"/>
      <c r="H70" s="565"/>
    </row>
    <row r="71" spans="1:8" ht="15">
      <c r="A71" s="32"/>
      <c r="B71" s="32"/>
      <c r="C71" s="563"/>
      <c r="D71" s="563"/>
      <c r="E71" s="32"/>
      <c r="F71" s="32"/>
      <c r="G71" s="565"/>
      <c r="H71" s="565"/>
    </row>
    <row r="72" spans="1:8" ht="15">
      <c r="A72" s="32"/>
      <c r="B72" s="32"/>
      <c r="C72" s="563"/>
      <c r="D72" s="563"/>
      <c r="E72" s="32"/>
      <c r="F72" s="32"/>
      <c r="G72" s="565"/>
      <c r="H72" s="565"/>
    </row>
    <row r="73" spans="1:8" ht="15">
      <c r="A73" s="32"/>
      <c r="B73" s="32"/>
      <c r="C73" s="563"/>
      <c r="D73" s="563"/>
      <c r="E73" s="32"/>
      <c r="F73" s="32"/>
      <c r="G73" s="565"/>
      <c r="H73" s="565"/>
    </row>
    <row r="74" spans="1:8" ht="15">
      <c r="A74" s="32"/>
      <c r="B74" s="32"/>
      <c r="C74" s="563"/>
      <c r="D74" s="563"/>
      <c r="E74" s="32"/>
      <c r="F74" s="32"/>
      <c r="G74" s="565"/>
      <c r="H74" s="565"/>
    </row>
    <row r="75" spans="1:8" ht="15">
      <c r="A75" s="32"/>
      <c r="B75" s="32"/>
      <c r="C75" s="563"/>
      <c r="D75" s="563"/>
      <c r="E75" s="32"/>
      <c r="F75" s="32"/>
      <c r="G75" s="565"/>
      <c r="H75" s="565"/>
    </row>
    <row r="76" spans="1:8" ht="15">
      <c r="A76" s="32"/>
      <c r="B76" s="32"/>
      <c r="C76" s="563"/>
      <c r="D76" s="563"/>
      <c r="E76" s="32"/>
      <c r="F76" s="32"/>
      <c r="G76" s="565"/>
      <c r="H76" s="565"/>
    </row>
    <row r="77" spans="1:8" ht="15">
      <c r="A77" s="32"/>
      <c r="B77" s="32"/>
      <c r="C77" s="563"/>
      <c r="D77" s="563"/>
      <c r="E77" s="32"/>
      <c r="F77" s="32"/>
      <c r="G77" s="565"/>
      <c r="H77" s="565"/>
    </row>
    <row r="78" spans="1:8" ht="15">
      <c r="A78" s="32"/>
      <c r="B78" s="32"/>
      <c r="C78" s="563"/>
      <c r="D78" s="563"/>
      <c r="E78" s="32"/>
      <c r="F78" s="32"/>
      <c r="G78" s="565"/>
      <c r="H78" s="565"/>
    </row>
    <row r="79" spans="1:8" ht="15">
      <c r="A79" s="32"/>
      <c r="B79" s="32"/>
      <c r="C79" s="563"/>
      <c r="D79" s="563"/>
      <c r="E79" s="32"/>
      <c r="F79" s="32"/>
      <c r="G79" s="565"/>
      <c r="H79" s="565"/>
    </row>
    <row r="80" spans="1:8" ht="15">
      <c r="A80" s="32"/>
      <c r="B80" s="32"/>
      <c r="C80" s="563"/>
      <c r="D80" s="563"/>
      <c r="E80" s="32"/>
      <c r="F80" s="32"/>
      <c r="G80" s="565"/>
      <c r="H80" s="565"/>
    </row>
    <row r="81" spans="1:8" ht="15">
      <c r="A81" s="32"/>
      <c r="B81" s="32"/>
      <c r="C81" s="563"/>
      <c r="D81" s="563"/>
      <c r="E81" s="32"/>
      <c r="F81" s="32"/>
      <c r="G81" s="565"/>
      <c r="H81" s="565"/>
    </row>
    <row r="82" spans="1:8" ht="15">
      <c r="A82" s="32"/>
      <c r="B82" s="32"/>
      <c r="C82" s="563"/>
      <c r="D82" s="563"/>
      <c r="E82" s="32"/>
      <c r="F82" s="32"/>
      <c r="G82" s="565"/>
      <c r="H82" s="565"/>
    </row>
    <row r="83" spans="1:8" ht="15">
      <c r="A83" s="32"/>
      <c r="B83" s="32"/>
      <c r="C83" s="563"/>
      <c r="D83" s="563"/>
      <c r="E83" s="32"/>
      <c r="F83" s="32"/>
      <c r="G83" s="565"/>
      <c r="H83" s="565"/>
    </row>
    <row r="84" spans="1:8" ht="15">
      <c r="A84" s="32"/>
      <c r="B84" s="32"/>
      <c r="C84" s="563"/>
      <c r="D84" s="563"/>
      <c r="E84" s="32"/>
      <c r="F84" s="32"/>
      <c r="G84" s="565"/>
      <c r="H84" s="565"/>
    </row>
    <row r="85" spans="1:8" ht="15">
      <c r="A85" s="32"/>
      <c r="B85" s="32"/>
      <c r="C85" s="563"/>
      <c r="D85" s="563"/>
      <c r="E85" s="32"/>
      <c r="F85" s="32"/>
      <c r="G85" s="565"/>
      <c r="H85" s="565"/>
    </row>
    <row r="86" spans="1:8" ht="15">
      <c r="A86" s="32"/>
      <c r="B86" s="32"/>
      <c r="C86" s="563"/>
      <c r="D86" s="563"/>
      <c r="E86" s="32"/>
      <c r="F86" s="32"/>
      <c r="G86" s="565"/>
      <c r="H86" s="565"/>
    </row>
    <row r="87" spans="1:8" ht="15">
      <c r="A87" s="32"/>
      <c r="B87" s="32"/>
      <c r="C87" s="563"/>
      <c r="D87" s="563"/>
      <c r="E87" s="32"/>
      <c r="F87" s="32"/>
      <c r="G87" s="565"/>
      <c r="H87" s="565"/>
    </row>
    <row r="88" spans="1:8" ht="15">
      <c r="A88" s="32"/>
      <c r="B88" s="32"/>
      <c r="C88" s="563"/>
      <c r="D88" s="563"/>
      <c r="E88" s="32"/>
      <c r="F88" s="32"/>
      <c r="G88" s="565"/>
      <c r="H88" s="565"/>
    </row>
    <row r="89" spans="1:8" ht="15">
      <c r="A89" s="32"/>
      <c r="B89" s="32"/>
      <c r="C89" s="563"/>
      <c r="D89" s="563"/>
      <c r="E89" s="32"/>
      <c r="F89" s="32"/>
      <c r="G89" s="565"/>
      <c r="H89" s="565"/>
    </row>
    <row r="90" spans="1:8" ht="15">
      <c r="A90" s="32"/>
      <c r="B90" s="32"/>
      <c r="C90" s="563"/>
      <c r="D90" s="563"/>
      <c r="E90" s="32"/>
      <c r="F90" s="32"/>
      <c r="G90" s="565"/>
      <c r="H90" s="565"/>
    </row>
    <row r="91" spans="1:8" ht="15">
      <c r="A91" s="32"/>
      <c r="B91" s="32"/>
      <c r="C91" s="563"/>
      <c r="D91" s="563"/>
      <c r="E91" s="32"/>
      <c r="F91" s="32"/>
      <c r="G91" s="565"/>
      <c r="H91" s="565"/>
    </row>
    <row r="92" spans="1:8" ht="15">
      <c r="A92" s="32"/>
      <c r="B92" s="32"/>
      <c r="C92" s="563"/>
      <c r="D92" s="563"/>
      <c r="E92" s="32"/>
      <c r="F92" s="32"/>
      <c r="G92" s="565"/>
      <c r="H92" s="565"/>
    </row>
    <row r="93" spans="1:8" ht="15">
      <c r="A93" s="32"/>
      <c r="B93" s="32"/>
      <c r="C93" s="563"/>
      <c r="D93" s="563"/>
      <c r="E93" s="32"/>
      <c r="F93" s="32"/>
      <c r="G93" s="565"/>
      <c r="H93" s="565"/>
    </row>
    <row r="94" spans="1:8" ht="15">
      <c r="A94" s="32"/>
      <c r="B94" s="32"/>
      <c r="C94" s="563"/>
      <c r="D94" s="563"/>
      <c r="E94" s="32"/>
      <c r="F94" s="32"/>
      <c r="G94" s="565"/>
      <c r="H94" s="565"/>
    </row>
    <row r="95" spans="1:8" ht="15">
      <c r="A95" s="32"/>
      <c r="B95" s="32"/>
      <c r="C95" s="563"/>
      <c r="D95" s="563"/>
      <c r="E95" s="32"/>
      <c r="F95" s="32"/>
      <c r="G95" s="565"/>
      <c r="H95" s="565"/>
    </row>
    <row r="96" spans="1:8" ht="15">
      <c r="A96" s="32"/>
      <c r="B96" s="32"/>
      <c r="C96" s="563"/>
      <c r="D96" s="563"/>
      <c r="E96" s="32"/>
      <c r="F96" s="32"/>
      <c r="G96" s="565"/>
      <c r="H96" s="565"/>
    </row>
    <row r="97" spans="1:8" ht="15">
      <c r="A97" s="32"/>
      <c r="B97" s="32"/>
      <c r="C97" s="563"/>
      <c r="D97" s="563"/>
      <c r="E97" s="32"/>
      <c r="F97" s="32"/>
      <c r="G97" s="565"/>
      <c r="H97" s="565"/>
    </row>
    <row r="98" spans="1:8" ht="15">
      <c r="A98" s="32"/>
      <c r="B98" s="32"/>
      <c r="C98" s="563"/>
      <c r="D98" s="563"/>
      <c r="E98" s="32"/>
      <c r="F98" s="32"/>
      <c r="G98" s="565"/>
      <c r="H98" s="565"/>
    </row>
    <row r="99" spans="1:8" ht="15">
      <c r="A99" s="32"/>
      <c r="B99" s="32"/>
      <c r="C99" s="563"/>
      <c r="D99" s="563"/>
      <c r="E99" s="32"/>
      <c r="F99" s="32"/>
      <c r="G99" s="565"/>
      <c r="H99" s="565"/>
    </row>
    <row r="100" spans="1:8" ht="15">
      <c r="A100" s="32"/>
      <c r="B100" s="32"/>
      <c r="C100" s="563"/>
      <c r="D100" s="563"/>
      <c r="E100" s="32"/>
      <c r="F100" s="32"/>
      <c r="G100" s="565"/>
      <c r="H100" s="565"/>
    </row>
    <row r="101" spans="1:8" ht="15">
      <c r="A101" s="32"/>
      <c r="B101" s="32"/>
      <c r="C101" s="563"/>
      <c r="D101" s="563"/>
      <c r="E101" s="32"/>
      <c r="F101" s="32"/>
      <c r="G101" s="565"/>
      <c r="H101" s="565"/>
    </row>
    <row r="102" spans="1:8" ht="15">
      <c r="A102" s="32"/>
      <c r="B102" s="32"/>
      <c r="C102" s="563"/>
      <c r="D102" s="563"/>
      <c r="E102" s="32"/>
      <c r="F102" s="32"/>
      <c r="G102" s="565"/>
      <c r="H102" s="565"/>
    </row>
    <row r="103" spans="1:8" ht="15">
      <c r="A103" s="32"/>
      <c r="B103" s="32"/>
      <c r="C103" s="563"/>
      <c r="D103" s="563"/>
      <c r="E103" s="32"/>
      <c r="F103" s="32"/>
      <c r="G103" s="565"/>
      <c r="H103" s="565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B64" sqref="B64:E6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">
      <c r="A6" s="75" t="str">
        <f>CONCATENATE("към ",TEXT(endDate,"dd.mm.yyyy")," г.")</f>
        <v>към 30.06.2020 г.</v>
      </c>
      <c r="B6" s="491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f>'[10]Cash Flow LBE 2016'!$Q$12</f>
        <v>102498</v>
      </c>
      <c r="D11" s="196">
        <f>'[9]3-Отчет за паричния поток'!$C$11</f>
        <v>98488</v>
      </c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f>'[10]Cash Flow LBE 2016'!$Q$14</f>
        <v>-18862</v>
      </c>
      <c r="D14" s="196">
        <f>'[9]3-Отчет за паричния поток'!$C$14</f>
        <v>-17109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SUM('[10]Cash Flow LBE 2016'!$Q$37:$Q$38)</f>
        <v>-10609</v>
      </c>
      <c r="D15" s="196">
        <f>'[9]3-Отчет за паричния поток'!$C$15</f>
        <v>-9561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f>'[10]Cash Flow LBE 2016'!$Q$36</f>
        <v>-2156</v>
      </c>
      <c r="D16" s="196">
        <f>'[9]3-Отчет за паричния поток'!$C$16</f>
        <v>-2990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f>SUM('[10]Cash Flow LBE 2016'!$Q$15:$Q$22)+'[10]Cash Flow LBE 2016'!$Q$30</f>
        <v>-37920.65036333333</v>
      </c>
      <c r="D20" s="196">
        <f>'[9]3-Отчет за паричния поток'!$C$20</f>
        <v>-33853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5">
        <f>SUM(C11:C20)</f>
        <v>32950.34963666667</v>
      </c>
      <c r="D21" s="656">
        <f>SUM(D11:D20)</f>
        <v>34975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f>ROUND('[10]Cash Flow LBE 2016'!$Q$34,0)</f>
        <v>-18993</v>
      </c>
      <c r="D23" s="196">
        <f>'[9]3-Отчет за паричния поток'!$C$23</f>
        <v>-15894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5">
        <f>SUM(C23:C32)</f>
        <v>-18993</v>
      </c>
      <c r="D33" s="656">
        <f>SUM(D23:D32)</f>
        <v>-15894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3"/>
      <c r="D34" s="654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0</v>
      </c>
      <c r="D37" s="196">
        <f>'[9]3-Отчет за паричния поток'!$C$37</f>
        <v>0</v>
      </c>
      <c r="E37" s="177"/>
      <c r="F37" s="177"/>
    </row>
    <row r="38" spans="1:6" ht="15">
      <c r="A38" s="277" t="s">
        <v>429</v>
      </c>
      <c r="B38" s="178" t="s">
        <v>430</v>
      </c>
      <c r="C38" s="197">
        <f>ROUND('[10]Cash Flow LBE 2016'!$Q$49,0)</f>
        <v>-12432</v>
      </c>
      <c r="D38" s="196">
        <f>'[9]3-Отчет за паричния поток'!$C$38</f>
        <v>-16175</v>
      </c>
      <c r="E38" s="177"/>
      <c r="F38" s="177"/>
    </row>
    <row r="39" spans="1:6" ht="15">
      <c r="A39" s="277" t="s">
        <v>431</v>
      </c>
      <c r="B39" s="178" t="s">
        <v>432</v>
      </c>
      <c r="C39" s="197">
        <f>ROUND('[10]Cash Flow LBE 2016'!$Q$47,0)-2</f>
        <v>-460</v>
      </c>
      <c r="D39" s="196">
        <f>'[9]3-Отчет за паричния поток'!$C$39</f>
        <v>-600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f>ROUND('[10]Cash Flow LBE 2016'!$Q$41,0)</f>
        <v>-286</v>
      </c>
      <c r="D40" s="196">
        <f>'[9]3-Отчет за паричния поток'!$C$40</f>
        <v>-475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>
        <f>'[9]3-Отчет за паричния поток'!$C$42</f>
        <v>118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7">
        <f>SUM(C35:C42)</f>
        <v>-13178</v>
      </c>
      <c r="D43" s="658">
        <f>SUM(D35:D42)</f>
        <v>-17132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779.3496366666732</v>
      </c>
      <c r="D44" s="307">
        <f>D43+D33+D21</f>
        <v>1949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f>'1-Баланс'!D92</f>
        <v>49998.93025</v>
      </c>
      <c r="D45" s="309">
        <f>'[9]3-Отчет за паричния поток'!$C$45</f>
        <v>35815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50778.27988666667</v>
      </c>
      <c r="D46" s="311">
        <f>D45+D44</f>
        <v>37764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f>C46</f>
        <v>50778.27988666667</v>
      </c>
      <c r="D47" s="298">
        <f>'[9]3-Отчет за паричния поток'!$C$47</f>
        <v>37764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1088</v>
      </c>
      <c r="D48" s="281">
        <f>'[9]3-Отчет за паричния поток'!$C$48</f>
        <v>1088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968</v>
      </c>
      <c r="G50" s="180"/>
      <c r="H50" s="180"/>
    </row>
    <row r="51" spans="1:8" ht="15">
      <c r="A51" s="715" t="s">
        <v>974</v>
      </c>
      <c r="B51" s="715"/>
      <c r="C51" s="715"/>
      <c r="D51" s="715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977</v>
      </c>
      <c r="B54" s="710">
        <f>pdeReportingDate</f>
        <v>44042</v>
      </c>
      <c r="C54" s="710"/>
      <c r="D54" s="710"/>
      <c r="E54" s="710"/>
      <c r="F54" s="694"/>
      <c r="G54" s="694"/>
      <c r="H54" s="694"/>
      <c r="M54" s="98"/>
    </row>
    <row r="55" spans="1:13" s="42" customFormat="1" ht="15">
      <c r="A55" s="691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">
      <c r="A56" s="692" t="s">
        <v>8</v>
      </c>
      <c r="B56" s="711" t="str">
        <f>authorName</f>
        <v>Анелия Илиева Илиева</v>
      </c>
      <c r="C56" s="711"/>
      <c r="D56" s="711"/>
      <c r="E56" s="711"/>
      <c r="F56" s="80"/>
      <c r="G56" s="80"/>
      <c r="H56" s="80"/>
    </row>
    <row r="57" spans="1:8" s="42" customFormat="1" ht="15">
      <c r="A57" s="692"/>
      <c r="B57" s="711"/>
      <c r="C57" s="711"/>
      <c r="D57" s="711"/>
      <c r="E57" s="711"/>
      <c r="F57" s="80"/>
      <c r="G57" s="80"/>
      <c r="H57" s="80"/>
    </row>
    <row r="58" spans="1:8" s="42" customFormat="1" ht="15">
      <c r="A58" s="692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">
      <c r="A59" s="693"/>
      <c r="B59" s="709" t="str">
        <f>'2-Отчет за доходите'!B55:E55</f>
        <v>Васил Борисов Тренев</v>
      </c>
      <c r="C59" s="709"/>
      <c r="D59" s="709"/>
      <c r="E59" s="709"/>
      <c r="F59" s="571"/>
      <c r="G59" s="45"/>
      <c r="H59" s="42"/>
    </row>
    <row r="60" spans="1:8" ht="15">
      <c r="A60" s="693"/>
      <c r="B60" s="708"/>
      <c r="C60" s="709"/>
      <c r="D60" s="709"/>
      <c r="E60" s="709"/>
      <c r="F60" s="571"/>
      <c r="G60" s="45"/>
      <c r="H60" s="42"/>
    </row>
    <row r="61" spans="1:8" ht="15">
      <c r="A61" s="693"/>
      <c r="B61" s="708"/>
      <c r="C61" s="709"/>
      <c r="D61" s="709"/>
      <c r="E61" s="709"/>
      <c r="F61" s="571"/>
      <c r="G61" s="45"/>
      <c r="H61" s="42"/>
    </row>
    <row r="62" spans="1:8" ht="15">
      <c r="A62" s="693"/>
      <c r="B62" s="709" t="s">
        <v>979</v>
      </c>
      <c r="C62" s="709"/>
      <c r="D62" s="709"/>
      <c r="E62" s="709"/>
      <c r="F62" s="571"/>
      <c r="G62" s="45"/>
      <c r="H62" s="42"/>
    </row>
    <row r="63" spans="1:8" ht="15">
      <c r="A63" s="693"/>
      <c r="B63" s="708"/>
      <c r="C63" s="709"/>
      <c r="D63" s="709"/>
      <c r="E63" s="709"/>
      <c r="F63" s="571"/>
      <c r="G63" s="45"/>
      <c r="H63" s="42"/>
    </row>
    <row r="64" spans="1:8" ht="15">
      <c r="A64" s="693"/>
      <c r="B64" s="708">
        <f>C46-'[10]Cash Flow LBE 2016'!$Q$56</f>
        <v>-2.268980000000738</v>
      </c>
      <c r="C64" s="709"/>
      <c r="D64" s="709"/>
      <c r="E64" s="709"/>
      <c r="F64" s="571"/>
      <c r="G64" s="45"/>
      <c r="H64" s="42"/>
    </row>
    <row r="65" spans="1:8" ht="15">
      <c r="A65" s="693"/>
      <c r="B65" s="708">
        <f>C46-'1-Баланс'!C92</f>
        <v>0.3496366666731774</v>
      </c>
      <c r="C65" s="709"/>
      <c r="D65" s="709"/>
      <c r="E65" s="709"/>
      <c r="F65" s="571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5" sqref="I15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0">
      <c r="A8" s="720" t="s">
        <v>453</v>
      </c>
      <c r="B8" s="723" t="s">
        <v>454</v>
      </c>
      <c r="C8" s="716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6" t="s">
        <v>460</v>
      </c>
      <c r="L8" s="716" t="s">
        <v>461</v>
      </c>
      <c r="M8" s="528"/>
      <c r="N8" s="529"/>
    </row>
    <row r="9" spans="1:14" s="530" customFormat="1" ht="30">
      <c r="A9" s="721"/>
      <c r="B9" s="724"/>
      <c r="C9" s="717"/>
      <c r="D9" s="719" t="s">
        <v>826</v>
      </c>
      <c r="E9" s="719" t="s">
        <v>456</v>
      </c>
      <c r="F9" s="532" t="s">
        <v>457</v>
      </c>
      <c r="G9" s="532"/>
      <c r="H9" s="532"/>
      <c r="I9" s="726" t="s">
        <v>458</v>
      </c>
      <c r="J9" s="726" t="s">
        <v>459</v>
      </c>
      <c r="K9" s="717"/>
      <c r="L9" s="717"/>
      <c r="M9" s="533" t="s">
        <v>825</v>
      </c>
      <c r="N9" s="529"/>
    </row>
    <row r="10" spans="1:14" s="530" customFormat="1" ht="30">
      <c r="A10" s="722"/>
      <c r="B10" s="725"/>
      <c r="C10" s="718"/>
      <c r="D10" s="719"/>
      <c r="E10" s="719"/>
      <c r="F10" s="531" t="s">
        <v>462</v>
      </c>
      <c r="G10" s="531" t="s">
        <v>463</v>
      </c>
      <c r="H10" s="531" t="s">
        <v>464</v>
      </c>
      <c r="I10" s="718"/>
      <c r="J10" s="718"/>
      <c r="K10" s="718"/>
      <c r="L10" s="718"/>
      <c r="M10" s="534"/>
      <c r="N10" s="529"/>
    </row>
    <row r="11" spans="1:14" s="530" customFormat="1" ht="1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-469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274868.41345</v>
      </c>
      <c r="J13" s="581">
        <f>'1-Баланс'!H30+'1-Баланс'!H33</f>
        <v>0</v>
      </c>
      <c r="K13" s="582"/>
      <c r="L13" s="581">
        <f>SUM(C13:K13)</f>
        <v>294057.41345</v>
      </c>
      <c r="M13" s="583">
        <f>'1-Баланс'!H40</f>
        <v>0</v>
      </c>
      <c r="N13" s="166"/>
    </row>
    <row r="14" spans="1:14" ht="1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0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-469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274868.41345</v>
      </c>
      <c r="J17" s="650">
        <f t="shared" si="2"/>
        <v>0</v>
      </c>
      <c r="K17" s="650">
        <f t="shared" si="2"/>
        <v>0</v>
      </c>
      <c r="L17" s="581">
        <f t="shared" si="1"/>
        <v>294057.41345</v>
      </c>
      <c r="M17" s="651">
        <f t="shared" si="2"/>
        <v>0</v>
      </c>
      <c r="N17" s="169"/>
    </row>
    <row r="18" spans="1:14" ht="1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18871</v>
      </c>
      <c r="J18" s="581">
        <f>+'1-Баланс'!G33</f>
        <v>0</v>
      </c>
      <c r="K18" s="582"/>
      <c r="L18" s="581">
        <f t="shared" si="1"/>
        <v>18871</v>
      </c>
      <c r="M18" s="635"/>
      <c r="N18" s="169"/>
    </row>
    <row r="19" spans="1:14" ht="1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0.7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0.7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5">
        <f t="shared" si="5"/>
        <v>0</v>
      </c>
      <c r="N26" s="169"/>
    </row>
    <row r="27" spans="1:14" ht="15">
      <c r="A27" s="546" t="s">
        <v>489</v>
      </c>
      <c r="B27" s="547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1">
        <f t="shared" si="1"/>
        <v>0</v>
      </c>
      <c r="M27" s="317"/>
      <c r="N27" s="169"/>
    </row>
    <row r="28" spans="1:14" ht="1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-469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293739.41345</v>
      </c>
      <c r="J31" s="650">
        <f t="shared" si="6"/>
        <v>0</v>
      </c>
      <c r="K31" s="650">
        <f t="shared" si="6"/>
        <v>0</v>
      </c>
      <c r="L31" s="581">
        <f t="shared" si="1"/>
        <v>312928.41345</v>
      </c>
      <c r="M31" s="651">
        <f t="shared" si="6"/>
        <v>0</v>
      </c>
      <c r="N31" s="166"/>
    </row>
    <row r="32" spans="1:14" ht="30.7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1.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0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-469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293739.41345</v>
      </c>
      <c r="J34" s="584">
        <f t="shared" si="7"/>
        <v>0</v>
      </c>
      <c r="K34" s="584">
        <f t="shared" si="7"/>
        <v>0</v>
      </c>
      <c r="L34" s="648">
        <f t="shared" si="1"/>
        <v>312928.41345</v>
      </c>
      <c r="M34" s="585">
        <f>M31+M32+M33</f>
        <v>0</v>
      </c>
      <c r="N34" s="169"/>
    </row>
    <row r="35" spans="1:14" ht="1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">
      <c r="A38" s="691" t="s">
        <v>977</v>
      </c>
      <c r="B38" s="710">
        <f>pdeReportingDate</f>
        <v>44042</v>
      </c>
      <c r="C38" s="710"/>
      <c r="D38" s="710"/>
      <c r="E38" s="710"/>
      <c r="F38" s="710"/>
      <c r="G38" s="710"/>
      <c r="H38" s="710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11" t="str">
        <f>authorName</f>
        <v>Анелия Илиева Илиева</v>
      </c>
      <c r="C40" s="711"/>
      <c r="D40" s="711"/>
      <c r="E40" s="711"/>
      <c r="F40" s="711"/>
      <c r="G40" s="711"/>
      <c r="H40" s="711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">
      <c r="A43" s="693"/>
      <c r="B43" s="709" t="str">
        <f>'3-Отчет за паричния поток'!B59:E59</f>
        <v>Васил Борисов Тренев</v>
      </c>
      <c r="C43" s="709"/>
      <c r="D43" s="709"/>
      <c r="E43" s="709"/>
      <c r="F43" s="571"/>
      <c r="G43" s="45"/>
      <c r="H43" s="42"/>
      <c r="M43" s="169"/>
    </row>
    <row r="44" spans="1:13" ht="15">
      <c r="A44" s="693"/>
      <c r="B44" s="709" t="s">
        <v>979</v>
      </c>
      <c r="C44" s="709"/>
      <c r="D44" s="709"/>
      <c r="E44" s="709"/>
      <c r="F44" s="571"/>
      <c r="G44" s="45"/>
      <c r="H44" s="42"/>
      <c r="M44" s="169"/>
    </row>
    <row r="45" spans="1:13" ht="15">
      <c r="A45" s="693"/>
      <c r="B45" s="709" t="s">
        <v>979</v>
      </c>
      <c r="C45" s="709"/>
      <c r="D45" s="709"/>
      <c r="E45" s="709"/>
      <c r="F45" s="571"/>
      <c r="G45" s="45"/>
      <c r="H45" s="42"/>
      <c r="M45" s="169"/>
    </row>
    <row r="46" spans="1:13" ht="15">
      <c r="A46" s="693"/>
      <c r="B46" s="708">
        <f>L34-'1-Баланс'!G37</f>
        <v>0</v>
      </c>
      <c r="C46" s="709"/>
      <c r="D46" s="709"/>
      <c r="E46" s="709"/>
      <c r="F46" s="571"/>
      <c r="G46" s="45"/>
      <c r="H46" s="42"/>
      <c r="M46" s="169"/>
    </row>
    <row r="47" spans="1:13" ht="15">
      <c r="A47" s="693"/>
      <c r="B47" s="709"/>
      <c r="C47" s="709"/>
      <c r="D47" s="709"/>
      <c r="E47" s="709"/>
      <c r="F47" s="571"/>
      <c r="G47" s="45"/>
      <c r="H47" s="42"/>
      <c r="M47" s="169"/>
    </row>
    <row r="48" spans="1:13" ht="15">
      <c r="A48" s="693"/>
      <c r="B48" s="709"/>
      <c r="C48" s="709"/>
      <c r="D48" s="709"/>
      <c r="E48" s="709"/>
      <c r="F48" s="571"/>
      <c r="G48" s="45"/>
      <c r="H48" s="42"/>
      <c r="M48" s="169"/>
    </row>
    <row r="49" spans="1:13" ht="15">
      <c r="A49" s="693"/>
      <c r="B49" s="709"/>
      <c r="C49" s="709"/>
      <c r="D49" s="709"/>
      <c r="E49" s="709"/>
      <c r="F49" s="571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2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88"/>
      <c r="C2" s="66"/>
      <c r="D2" s="65"/>
      <c r="E2" s="154"/>
    </row>
    <row r="3" spans="1:5" ht="1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">
      <c r="A10" s="503" t="s">
        <v>791</v>
      </c>
      <c r="B10" s="504"/>
      <c r="C10" s="468"/>
      <c r="D10" s="468"/>
      <c r="E10" s="468"/>
      <c r="F10" s="468"/>
    </row>
    <row r="11" spans="1:6" ht="15">
      <c r="A11" s="505" t="s">
        <v>792</v>
      </c>
      <c r="B11" s="500"/>
      <c r="C11" s="468"/>
      <c r="D11" s="468"/>
      <c r="E11" s="468"/>
      <c r="F11" s="468"/>
    </row>
    <row r="12" spans="1:6" ht="15">
      <c r="A12" s="676" t="s">
        <v>999</v>
      </c>
      <c r="B12" s="677" t="s">
        <v>109</v>
      </c>
      <c r="C12" s="92">
        <v>5</v>
      </c>
      <c r="D12" s="92" t="s">
        <v>1000</v>
      </c>
      <c r="E12" s="92"/>
      <c r="F12" s="466">
        <f>C12-E12</f>
        <v>5</v>
      </c>
    </row>
    <row r="13" spans="1:6" ht="1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">
      <c r="A28" s="505" t="s">
        <v>794</v>
      </c>
      <c r="B28" s="507"/>
      <c r="C28" s="468"/>
      <c r="D28" s="468"/>
      <c r="E28" s="468"/>
      <c r="F28" s="468"/>
    </row>
    <row r="29" spans="1:6" ht="1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">
      <c r="A45" s="505" t="s">
        <v>796</v>
      </c>
      <c r="B45" s="508"/>
      <c r="C45" s="509"/>
      <c r="D45" s="468"/>
      <c r="E45" s="468"/>
      <c r="F45" s="468"/>
    </row>
    <row r="46" spans="1:6" ht="1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">
      <c r="A62" s="503" t="s">
        <v>799</v>
      </c>
      <c r="B62" s="507"/>
      <c r="C62" s="468"/>
      <c r="D62" s="468"/>
      <c r="E62" s="468"/>
      <c r="F62" s="468"/>
    </row>
    <row r="63" spans="1:6" ht="1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">
      <c r="A80" s="503" t="s">
        <v>803</v>
      </c>
      <c r="B80" s="507"/>
      <c r="C80" s="467"/>
      <c r="D80" s="467"/>
      <c r="E80" s="467"/>
      <c r="F80" s="467"/>
    </row>
    <row r="81" spans="1:6" ht="15">
      <c r="A81" s="505" t="s">
        <v>792</v>
      </c>
      <c r="B81" s="511"/>
      <c r="C81" s="468"/>
      <c r="D81" s="468"/>
      <c r="E81" s="468"/>
      <c r="F81" s="468"/>
    </row>
    <row r="82" spans="1:6" ht="1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">
      <c r="A98" s="505" t="s">
        <v>794</v>
      </c>
      <c r="B98" s="512"/>
      <c r="C98" s="467"/>
      <c r="D98" s="467"/>
      <c r="E98" s="467"/>
      <c r="F98" s="467"/>
    </row>
    <row r="99" spans="1:6" ht="1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">
      <c r="A132" s="503" t="s">
        <v>799</v>
      </c>
      <c r="B132" s="507"/>
      <c r="C132" s="468"/>
      <c r="D132" s="468"/>
      <c r="E132" s="468"/>
      <c r="F132" s="468"/>
    </row>
    <row r="133" spans="1:6" ht="1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">
      <c r="A150" s="513"/>
      <c r="B150" s="514"/>
      <c r="C150" s="515"/>
      <c r="D150" s="515"/>
      <c r="E150" s="515"/>
      <c r="F150" s="515"/>
    </row>
    <row r="151" spans="1:8" ht="15">
      <c r="A151" s="691" t="s">
        <v>977</v>
      </c>
      <c r="B151" s="710">
        <f>pdeReportingDate</f>
        <v>44042</v>
      </c>
      <c r="C151" s="710"/>
      <c r="D151" s="710"/>
      <c r="E151" s="710"/>
      <c r="F151" s="710"/>
      <c r="G151" s="710"/>
      <c r="H151" s="710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11" t="str">
        <f>authorName</f>
        <v>Анелия Илиева Илиева</v>
      </c>
      <c r="C153" s="711"/>
      <c r="D153" s="711"/>
      <c r="E153" s="711"/>
      <c r="F153" s="711"/>
      <c r="G153" s="711"/>
      <c r="H153" s="711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">
      <c r="A156" s="693"/>
      <c r="B156" s="709" t="str">
        <f>'4-Отчет за собствения капитал'!B43:E43</f>
        <v>Васил Борисов Тренев</v>
      </c>
      <c r="C156" s="709"/>
      <c r="D156" s="709"/>
      <c r="E156" s="709"/>
      <c r="F156" s="571"/>
      <c r="G156" s="45"/>
      <c r="H156" s="42"/>
    </row>
    <row r="157" spans="1:8" ht="15">
      <c r="A157" s="693"/>
      <c r="B157" s="709" t="s">
        <v>979</v>
      </c>
      <c r="C157" s="709"/>
      <c r="D157" s="709"/>
      <c r="E157" s="709"/>
      <c r="F157" s="571"/>
      <c r="G157" s="45"/>
      <c r="H157" s="42"/>
    </row>
    <row r="158" spans="1:8" ht="15">
      <c r="A158" s="693"/>
      <c r="B158" s="709" t="s">
        <v>979</v>
      </c>
      <c r="C158" s="709"/>
      <c r="D158" s="709"/>
      <c r="E158" s="709"/>
      <c r="F158" s="571"/>
      <c r="G158" s="45"/>
      <c r="H158" s="42"/>
    </row>
    <row r="159" spans="1:8" ht="15">
      <c r="A159" s="693"/>
      <c r="B159" s="709" t="s">
        <v>979</v>
      </c>
      <c r="C159" s="709"/>
      <c r="D159" s="709"/>
      <c r="E159" s="709"/>
      <c r="F159" s="571"/>
      <c r="G159" s="45"/>
      <c r="H159" s="42"/>
    </row>
    <row r="160" spans="1:8" ht="15">
      <c r="A160" s="693"/>
      <c r="B160" s="709"/>
      <c r="C160" s="709"/>
      <c r="D160" s="709"/>
      <c r="E160" s="709"/>
      <c r="F160" s="571"/>
      <c r="G160" s="45"/>
      <c r="H160" s="42"/>
    </row>
    <row r="161" spans="1:8" ht="15">
      <c r="A161" s="693"/>
      <c r="B161" s="709"/>
      <c r="C161" s="709"/>
      <c r="D161" s="709"/>
      <c r="E161" s="709"/>
      <c r="F161" s="571"/>
      <c r="G161" s="45"/>
      <c r="H161" s="42"/>
    </row>
    <row r="162" spans="1:8" ht="15">
      <c r="A162" s="693"/>
      <c r="B162" s="709"/>
      <c r="C162" s="709"/>
      <c r="D162" s="709"/>
      <c r="E162" s="70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A1">
      <selection activeCell="K19" sqref="K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31" t="s">
        <v>453</v>
      </c>
      <c r="B7" s="732"/>
      <c r="C7" s="73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7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">
      <c r="A12" s="337" t="s">
        <v>524</v>
      </c>
      <c r="B12" s="321" t="s">
        <v>525</v>
      </c>
      <c r="C12" s="152" t="s">
        <v>526</v>
      </c>
      <c r="D12" s="698">
        <v>3953</v>
      </c>
      <c r="E12" s="698">
        <v>876</v>
      </c>
      <c r="F12" s="698">
        <v>0</v>
      </c>
      <c r="G12" s="699">
        <f aca="true" t="shared" si="2" ref="G12:G41">D12+E12-F12</f>
        <v>4829</v>
      </c>
      <c r="H12" s="328"/>
      <c r="I12" s="328"/>
      <c r="J12" s="699">
        <f aca="true" t="shared" si="3" ref="J12:J26">G12+H12-I12</f>
        <v>4829</v>
      </c>
      <c r="K12" s="698">
        <v>3298</v>
      </c>
      <c r="L12" s="698">
        <v>448</v>
      </c>
      <c r="M12" s="698">
        <v>0</v>
      </c>
      <c r="N12" s="699">
        <f aca="true" t="shared" si="4" ref="N12:N41">K12+L12-M12</f>
        <v>3746</v>
      </c>
      <c r="O12" s="328"/>
      <c r="P12" s="328"/>
      <c r="Q12" s="699">
        <f t="shared" si="0"/>
        <v>3746</v>
      </c>
      <c r="R12" s="701">
        <f t="shared" si="1"/>
        <v>1083</v>
      </c>
    </row>
    <row r="13" spans="1:18" ht="15">
      <c r="A13" s="337" t="s">
        <v>527</v>
      </c>
      <c r="B13" s="321" t="s">
        <v>528</v>
      </c>
      <c r="C13" s="152" t="s">
        <v>529</v>
      </c>
      <c r="D13" s="698">
        <v>38172</v>
      </c>
      <c r="E13" s="698">
        <v>354.20175</v>
      </c>
      <c r="F13" s="698">
        <v>8.40861</v>
      </c>
      <c r="G13" s="699">
        <f t="shared" si="2"/>
        <v>38517.79314</v>
      </c>
      <c r="H13" s="328"/>
      <c r="I13" s="328"/>
      <c r="J13" s="699">
        <f t="shared" si="3"/>
        <v>38517.79314</v>
      </c>
      <c r="K13" s="698">
        <v>27387</v>
      </c>
      <c r="L13" s="698">
        <v>1656</v>
      </c>
      <c r="M13" s="698">
        <v>7</v>
      </c>
      <c r="N13" s="699">
        <f t="shared" si="4"/>
        <v>29036</v>
      </c>
      <c r="O13" s="328"/>
      <c r="P13" s="328"/>
      <c r="Q13" s="699">
        <f t="shared" si="0"/>
        <v>29036</v>
      </c>
      <c r="R13" s="701">
        <f t="shared" si="1"/>
        <v>9481.793140000002</v>
      </c>
    </row>
    <row r="14" spans="1:18" ht="15">
      <c r="A14" s="337" t="s">
        <v>530</v>
      </c>
      <c r="B14" s="321" t="s">
        <v>531</v>
      </c>
      <c r="C14" s="152" t="s">
        <v>532</v>
      </c>
      <c r="D14" s="698">
        <v>0</v>
      </c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>
        <v>0</v>
      </c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">
      <c r="A15" s="337" t="s">
        <v>533</v>
      </c>
      <c r="B15" s="321" t="s">
        <v>534</v>
      </c>
      <c r="C15" s="152" t="s">
        <v>535</v>
      </c>
      <c r="D15" s="698">
        <v>19360</v>
      </c>
      <c r="E15" s="698">
        <v>67.68338</v>
      </c>
      <c r="F15" s="698">
        <v>71.30117999999999</v>
      </c>
      <c r="G15" s="699">
        <f t="shared" si="2"/>
        <v>19356.3822</v>
      </c>
      <c r="H15" s="328"/>
      <c r="I15" s="328"/>
      <c r="J15" s="699">
        <f t="shared" si="3"/>
        <v>19356.3822</v>
      </c>
      <c r="K15" s="698">
        <v>11375</v>
      </c>
      <c r="L15" s="698">
        <v>970.0945700000001</v>
      </c>
      <c r="M15" s="698">
        <v>70.96077000000001</v>
      </c>
      <c r="N15" s="699">
        <f t="shared" si="4"/>
        <v>12274.1338</v>
      </c>
      <c r="O15" s="328"/>
      <c r="P15" s="328"/>
      <c r="Q15" s="699">
        <f t="shared" si="0"/>
        <v>12274.1338</v>
      </c>
      <c r="R15" s="701">
        <f t="shared" si="1"/>
        <v>7082.2484</v>
      </c>
    </row>
    <row r="16" spans="1:18" ht="15">
      <c r="A16" s="358" t="s">
        <v>838</v>
      </c>
      <c r="B16" s="321" t="s">
        <v>536</v>
      </c>
      <c r="C16" s="152" t="s">
        <v>537</v>
      </c>
      <c r="D16" s="698">
        <v>0</v>
      </c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>
        <v>0</v>
      </c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0.75">
      <c r="A17" s="337" t="s">
        <v>538</v>
      </c>
      <c r="B17" s="155" t="s">
        <v>539</v>
      </c>
      <c r="C17" s="153" t="s">
        <v>540</v>
      </c>
      <c r="D17" s="698">
        <v>-0.31315000000086</v>
      </c>
      <c r="E17" s="698">
        <v>425</v>
      </c>
      <c r="F17" s="698">
        <v>425</v>
      </c>
      <c r="G17" s="699">
        <f t="shared" si="2"/>
        <v>-0.31315000000086</v>
      </c>
      <c r="H17" s="328"/>
      <c r="I17" s="328"/>
      <c r="J17" s="699">
        <f t="shared" si="3"/>
        <v>-0.31315000000086</v>
      </c>
      <c r="K17" s="698">
        <v>0</v>
      </c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-0.31315000000086</v>
      </c>
    </row>
    <row r="18" spans="1:18" ht="15">
      <c r="A18" s="337" t="s">
        <v>541</v>
      </c>
      <c r="B18" s="155" t="s">
        <v>542</v>
      </c>
      <c r="C18" s="152" t="s">
        <v>543</v>
      </c>
      <c r="D18" s="698">
        <v>2081</v>
      </c>
      <c r="E18" s="698">
        <v>3</v>
      </c>
      <c r="F18" s="698">
        <v>0</v>
      </c>
      <c r="G18" s="699">
        <f t="shared" si="2"/>
        <v>2084</v>
      </c>
      <c r="H18" s="328"/>
      <c r="I18" s="328"/>
      <c r="J18" s="699">
        <f t="shared" si="3"/>
        <v>2084</v>
      </c>
      <c r="K18" s="698">
        <v>1268</v>
      </c>
      <c r="L18" s="698">
        <v>52</v>
      </c>
      <c r="M18" s="698">
        <v>0</v>
      </c>
      <c r="N18" s="699">
        <f t="shared" si="4"/>
        <v>1320</v>
      </c>
      <c r="O18" s="328"/>
      <c r="P18" s="328"/>
      <c r="Q18" s="699">
        <f t="shared" si="0"/>
        <v>1320</v>
      </c>
      <c r="R18" s="701">
        <f t="shared" si="1"/>
        <v>764</v>
      </c>
    </row>
    <row r="19" spans="1:20" ht="15">
      <c r="A19" s="337"/>
      <c r="B19" s="322" t="s">
        <v>544</v>
      </c>
      <c r="C19" s="156" t="s">
        <v>545</v>
      </c>
      <c r="D19" s="700">
        <f>SUM(D11:D18)</f>
        <v>63750.68685</v>
      </c>
      <c r="E19" s="700">
        <f>SUM(E11:E18)</f>
        <v>1725.88513</v>
      </c>
      <c r="F19" s="700">
        <f>SUM(F11:F18)</f>
        <v>504.70979</v>
      </c>
      <c r="G19" s="703">
        <f t="shared" si="2"/>
        <v>64971.86219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64971.86219</v>
      </c>
      <c r="K19" s="700">
        <f>SUM(K11:K18)</f>
        <v>43328</v>
      </c>
      <c r="L19" s="700">
        <f>SUM(L11:L18)</f>
        <v>3126.09457</v>
      </c>
      <c r="M19" s="700">
        <f>SUM(M11:M18)</f>
        <v>77.96077000000001</v>
      </c>
      <c r="N19" s="703">
        <f t="shared" si="4"/>
        <v>46376.1338</v>
      </c>
      <c r="O19" s="330">
        <f>SUM(O11:O18)</f>
        <v>0</v>
      </c>
      <c r="P19" s="330">
        <f>SUM(P11:P18)</f>
        <v>0</v>
      </c>
      <c r="Q19" s="703">
        <f t="shared" si="0"/>
        <v>46376.1338</v>
      </c>
      <c r="R19" s="704">
        <f t="shared" si="1"/>
        <v>18595.728389999997</v>
      </c>
      <c r="S19" s="124"/>
      <c r="T19" s="124"/>
    </row>
    <row r="20" spans="1:18" ht="1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">
      <c r="A23" s="337" t="s">
        <v>521</v>
      </c>
      <c r="B23" s="321" t="s">
        <v>552</v>
      </c>
      <c r="C23" s="152" t="s">
        <v>553</v>
      </c>
      <c r="D23" s="328">
        <v>0</v>
      </c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>
        <v>0</v>
      </c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">
      <c r="A24" s="337" t="s">
        <v>524</v>
      </c>
      <c r="B24" s="321" t="s">
        <v>554</v>
      </c>
      <c r="C24" s="152" t="s">
        <v>555</v>
      </c>
      <c r="D24" s="698">
        <v>21624.47518</v>
      </c>
      <c r="E24" s="698">
        <v>66</v>
      </c>
      <c r="F24" s="698"/>
      <c r="G24" s="699">
        <f t="shared" si="2"/>
        <v>21690.47518</v>
      </c>
      <c r="H24" s="698"/>
      <c r="I24" s="698"/>
      <c r="J24" s="699">
        <f t="shared" si="3"/>
        <v>21690.47518</v>
      </c>
      <c r="K24" s="698">
        <v>17427.71577</v>
      </c>
      <c r="L24" s="698">
        <v>386.28015999999997</v>
      </c>
      <c r="M24" s="698"/>
      <c r="N24" s="699">
        <f t="shared" si="4"/>
        <v>17813.995929999997</v>
      </c>
      <c r="O24" s="698"/>
      <c r="P24" s="698"/>
      <c r="Q24" s="699">
        <f t="shared" si="0"/>
        <v>17813.995929999997</v>
      </c>
      <c r="R24" s="701">
        <f t="shared" si="1"/>
        <v>3876.479250000004</v>
      </c>
      <c r="S24" s="124"/>
      <c r="T24" s="124"/>
    </row>
    <row r="25" spans="1:20" ht="1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21037.982559999997</v>
      </c>
      <c r="L25" s="698">
        <v>0.24564</v>
      </c>
      <c r="M25" s="698"/>
      <c r="N25" s="699">
        <f t="shared" si="4"/>
        <v>21038.228199999998</v>
      </c>
      <c r="O25" s="698"/>
      <c r="P25" s="698"/>
      <c r="Q25" s="699">
        <f t="shared" si="0"/>
        <v>21038.228199999998</v>
      </c>
      <c r="R25" s="701">
        <f t="shared" si="1"/>
        <v>2.7718000000022585</v>
      </c>
      <c r="S25" s="124"/>
      <c r="T25" s="124"/>
    </row>
    <row r="26" spans="1:20" ht="15">
      <c r="A26" s="337" t="s">
        <v>530</v>
      </c>
      <c r="B26" s="157" t="s">
        <v>542</v>
      </c>
      <c r="C26" s="152" t="s">
        <v>558</v>
      </c>
      <c r="D26" s="698">
        <v>575265.52482</v>
      </c>
      <c r="E26" s="698">
        <v>28461.260110000003</v>
      </c>
      <c r="F26" s="698">
        <v>15898</v>
      </c>
      <c r="G26" s="699">
        <f t="shared" si="2"/>
        <v>587828.7849300001</v>
      </c>
      <c r="H26" s="698"/>
      <c r="I26" s="698"/>
      <c r="J26" s="699">
        <f t="shared" si="3"/>
        <v>587828.7849300001</v>
      </c>
      <c r="K26" s="698">
        <v>298248.72598</v>
      </c>
      <c r="L26" s="698">
        <v>23267.71984</v>
      </c>
      <c r="M26" s="698">
        <v>0</v>
      </c>
      <c r="N26" s="699">
        <f t="shared" si="4"/>
        <v>321516.44581999996</v>
      </c>
      <c r="O26" s="698"/>
      <c r="P26" s="698"/>
      <c r="Q26" s="699">
        <f t="shared" si="0"/>
        <v>321516.44581999996</v>
      </c>
      <c r="R26" s="701">
        <f t="shared" si="1"/>
        <v>266312.3391100001</v>
      </c>
      <c r="S26" s="124"/>
      <c r="T26" s="124"/>
    </row>
    <row r="27" spans="1:23" ht="15">
      <c r="A27" s="337"/>
      <c r="B27" s="322" t="s">
        <v>559</v>
      </c>
      <c r="C27" s="158" t="s">
        <v>560</v>
      </c>
      <c r="D27" s="702">
        <f>SUM(D24:D26)</f>
        <v>617931</v>
      </c>
      <c r="E27" s="702">
        <f>SUM(E24:E26)</f>
        <v>28527.260110000003</v>
      </c>
      <c r="F27" s="702">
        <f>SUM(F24:F26)</f>
        <v>15898</v>
      </c>
      <c r="G27" s="705">
        <f t="shared" si="2"/>
        <v>630560.26011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630560.26011</v>
      </c>
      <c r="K27" s="702">
        <f>SUM(K24:K26)</f>
        <v>336714.42431</v>
      </c>
      <c r="L27" s="702">
        <f>SUM(L24:L26)</f>
        <v>23654.24564</v>
      </c>
      <c r="M27" s="702">
        <f>SUM(M24:M26)</f>
        <v>0</v>
      </c>
      <c r="N27" s="705">
        <f t="shared" si="4"/>
        <v>360368.66994999995</v>
      </c>
      <c r="O27" s="702">
        <f t="shared" si="6"/>
        <v>0</v>
      </c>
      <c r="P27" s="702">
        <f t="shared" si="6"/>
        <v>0</v>
      </c>
      <c r="Q27" s="705">
        <f t="shared" si="0"/>
        <v>360368.66994999995</v>
      </c>
      <c r="R27" s="706">
        <f>SUM(R24:R26)</f>
        <v>270191.59016000014</v>
      </c>
      <c r="S27" s="124"/>
      <c r="T27" s="124"/>
      <c r="U27" s="124"/>
      <c r="V27" s="124"/>
      <c r="W27" s="124"/>
    </row>
    <row r="28" spans="1:19" ht="1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5.75" thickBot="1">
      <c r="A42" s="343"/>
      <c r="B42" s="344" t="s">
        <v>582</v>
      </c>
      <c r="C42" s="345" t="s">
        <v>583</v>
      </c>
      <c r="D42" s="346">
        <f>D19+D20+D21+D27+D40+D41</f>
        <v>689074.6868499999</v>
      </c>
      <c r="E42" s="346">
        <f>E19+E20+E21+E27+E40+E41</f>
        <v>30253.14524</v>
      </c>
      <c r="F42" s="346">
        <f aca="true" t="shared" si="12" ref="F42:R42">F19+F20+F21+F27+F40+F41</f>
        <v>16402.70979</v>
      </c>
      <c r="G42" s="346">
        <f t="shared" si="12"/>
        <v>702925.1223</v>
      </c>
      <c r="H42" s="346">
        <f t="shared" si="12"/>
        <v>0</v>
      </c>
      <c r="I42" s="346">
        <f t="shared" si="12"/>
        <v>0</v>
      </c>
      <c r="J42" s="346">
        <f t="shared" si="12"/>
        <v>702925.1223</v>
      </c>
      <c r="K42" s="346">
        <f t="shared" si="12"/>
        <v>387435.42431</v>
      </c>
      <c r="L42" s="346">
        <f t="shared" si="12"/>
        <v>26780.340210000002</v>
      </c>
      <c r="M42" s="346">
        <f t="shared" si="12"/>
        <v>77.96077000000001</v>
      </c>
      <c r="N42" s="346">
        <f t="shared" si="12"/>
        <v>414137.80374999996</v>
      </c>
      <c r="O42" s="346">
        <f t="shared" si="12"/>
        <v>0</v>
      </c>
      <c r="P42" s="346">
        <f t="shared" si="12"/>
        <v>0</v>
      </c>
      <c r="Q42" s="346">
        <f t="shared" si="12"/>
        <v>414137.80374999996</v>
      </c>
      <c r="R42" s="347">
        <f t="shared" si="12"/>
        <v>288787.31855000014</v>
      </c>
    </row>
    <row r="43" spans="1:18" ht="1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">
      <c r="A45" s="519"/>
      <c r="B45" s="691" t="s">
        <v>977</v>
      </c>
      <c r="C45" s="710">
        <f>pdeReportingDate</f>
        <v>44042</v>
      </c>
      <c r="D45" s="710"/>
      <c r="E45" s="710"/>
      <c r="F45" s="710"/>
      <c r="G45" s="710"/>
      <c r="H45" s="710"/>
      <c r="I45" s="710"/>
      <c r="J45" s="521"/>
      <c r="K45" s="521">
        <f>D19-K19</f>
        <v>20422.68685</v>
      </c>
      <c r="L45" s="523"/>
      <c r="M45" s="523"/>
      <c r="N45" s="523"/>
      <c r="O45" s="523"/>
      <c r="P45" s="523"/>
      <c r="Q45" s="523"/>
      <c r="R45" s="523"/>
    </row>
    <row r="46" spans="2:11" ht="15">
      <c r="B46" s="691"/>
      <c r="C46" s="52"/>
      <c r="D46" s="52"/>
      <c r="E46" s="52"/>
      <c r="F46" s="52"/>
      <c r="G46" s="52"/>
      <c r="H46" s="52"/>
      <c r="I46" s="52"/>
      <c r="J46" s="124"/>
      <c r="K46" s="124">
        <f>D27-K27</f>
        <v>281216.57569</v>
      </c>
    </row>
    <row r="47" spans="2:10" ht="15">
      <c r="B47" s="692" t="s">
        <v>8</v>
      </c>
      <c r="C47" s="711" t="str">
        <f>authorName</f>
        <v>Анелия Илиева Илиева</v>
      </c>
      <c r="D47" s="711"/>
      <c r="E47" s="711"/>
      <c r="F47" s="711"/>
      <c r="G47" s="711"/>
      <c r="H47" s="711"/>
      <c r="I47" s="711"/>
      <c r="J47" s="124"/>
    </row>
    <row r="48" spans="2:10" ht="15">
      <c r="B48" s="692"/>
      <c r="C48" s="80"/>
      <c r="D48" s="80"/>
      <c r="E48" s="80"/>
      <c r="F48" s="80"/>
      <c r="G48" s="80"/>
      <c r="H48" s="80"/>
      <c r="I48" s="80"/>
      <c r="J48" s="124"/>
    </row>
    <row r="49" spans="2:9" ht="15">
      <c r="B49" s="692" t="s">
        <v>920</v>
      </c>
      <c r="C49" s="712"/>
      <c r="D49" s="712"/>
      <c r="E49" s="712"/>
      <c r="F49" s="712"/>
      <c r="G49" s="712"/>
      <c r="H49" s="712"/>
      <c r="I49" s="712"/>
    </row>
    <row r="50" spans="2:9" ht="15">
      <c r="B50" s="693"/>
      <c r="C50" s="709" t="str">
        <f>'Справка 5'!B156</f>
        <v>Васил Борисов Тренев</v>
      </c>
      <c r="D50" s="709"/>
      <c r="E50" s="709"/>
      <c r="F50" s="709"/>
      <c r="G50" s="571"/>
      <c r="H50" s="45"/>
      <c r="I50" s="42"/>
    </row>
    <row r="51" spans="2:9" ht="15">
      <c r="B51" s="693"/>
      <c r="C51" s="709" t="s">
        <v>979</v>
      </c>
      <c r="D51" s="709"/>
      <c r="E51" s="709"/>
      <c r="F51" s="709"/>
      <c r="G51" s="571"/>
      <c r="H51" s="45"/>
      <c r="I51" s="42"/>
    </row>
    <row r="52" spans="2:9" ht="15">
      <c r="B52" s="693"/>
      <c r="C52" s="709" t="s">
        <v>979</v>
      </c>
      <c r="D52" s="709"/>
      <c r="E52" s="709"/>
      <c r="F52" s="709"/>
      <c r="G52" s="571"/>
      <c r="H52" s="45"/>
      <c r="I52" s="42"/>
    </row>
    <row r="53" spans="2:9" ht="15">
      <c r="B53" s="693"/>
      <c r="C53" s="709" t="s">
        <v>979</v>
      </c>
      <c r="D53" s="709"/>
      <c r="E53" s="709"/>
      <c r="F53" s="709"/>
      <c r="G53" s="571"/>
      <c r="H53" s="45"/>
      <c r="I53" s="42"/>
    </row>
    <row r="54" spans="2:11" ht="15">
      <c r="B54" s="693"/>
      <c r="C54" s="709"/>
      <c r="D54" s="709"/>
      <c r="E54" s="709"/>
      <c r="F54" s="709"/>
      <c r="G54" s="571"/>
      <c r="H54" s="573"/>
      <c r="I54" s="42"/>
      <c r="K54" s="124"/>
    </row>
    <row r="55" spans="2:11" ht="15">
      <c r="B55" s="693"/>
      <c r="C55" s="709"/>
      <c r="D55" s="709"/>
      <c r="E55" s="709"/>
      <c r="F55" s="709"/>
      <c r="G55" s="571"/>
      <c r="H55" s="573"/>
      <c r="I55" s="42"/>
      <c r="K55" s="124"/>
    </row>
    <row r="56" spans="2:11" ht="15">
      <c r="B56" s="693"/>
      <c r="C56" s="709"/>
      <c r="D56" s="709"/>
      <c r="E56" s="709"/>
      <c r="F56" s="709"/>
      <c r="G56" s="571"/>
      <c r="H56" s="573"/>
      <c r="I56" s="42"/>
      <c r="K56" s="124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03">
      <selection activeCell="C94" sqref="C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30.06.2020 г.</v>
      </c>
      <c r="B5" s="490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41" t="s">
        <v>453</v>
      </c>
      <c r="B8" s="743" t="s">
        <v>11</v>
      </c>
      <c r="C8" s="739" t="s">
        <v>587</v>
      </c>
      <c r="D8" s="362" t="s">
        <v>588</v>
      </c>
      <c r="E8" s="363"/>
      <c r="F8" s="127"/>
    </row>
    <row r="9" spans="1:6" s="128" customFormat="1" ht="15">
      <c r="A9" s="742"/>
      <c r="B9" s="744"/>
      <c r="C9" s="740"/>
      <c r="D9" s="131" t="s">
        <v>589</v>
      </c>
      <c r="E9" s="364" t="s">
        <v>590</v>
      </c>
      <c r="F9" s="127"/>
    </row>
    <row r="10" spans="1:6" s="128" customFormat="1" ht="15.7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5.7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">
      <c r="A12" s="370" t="s">
        <v>593</v>
      </c>
      <c r="B12" s="361"/>
      <c r="C12" s="380"/>
      <c r="D12" s="380"/>
      <c r="E12" s="371"/>
      <c r="F12" s="133"/>
    </row>
    <row r="13" spans="1:6" ht="1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">
      <c r="A18" s="367" t="s">
        <v>604</v>
      </c>
      <c r="B18" s="135" t="s">
        <v>605</v>
      </c>
      <c r="C18" s="359">
        <f>+C19+C20</f>
        <v>96.63917000000004</v>
      </c>
      <c r="D18" s="359">
        <f>+D19+D20</f>
        <v>0</v>
      </c>
      <c r="E18" s="366">
        <f t="shared" si="0"/>
        <v>96.63917000000004</v>
      </c>
      <c r="F18" s="133"/>
    </row>
    <row r="19" spans="1:6" ht="1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">
      <c r="A20" s="367" t="s">
        <v>600</v>
      </c>
      <c r="B20" s="135" t="s">
        <v>608</v>
      </c>
      <c r="C20" s="365">
        <f>'1-Баланс'!C51</f>
        <v>96.63917000000004</v>
      </c>
      <c r="D20" s="365"/>
      <c r="E20" s="366">
        <f t="shared" si="0"/>
        <v>96.63917000000004</v>
      </c>
      <c r="F20" s="133"/>
    </row>
    <row r="21" spans="1:6" ht="15.75" thickBot="1">
      <c r="A21" s="381" t="s">
        <v>609</v>
      </c>
      <c r="B21" s="382" t="s">
        <v>610</v>
      </c>
      <c r="C21" s="437">
        <f>C13+C17+C18</f>
        <v>96.63917000000004</v>
      </c>
      <c r="D21" s="437">
        <f>D13+D17+D18</f>
        <v>0</v>
      </c>
      <c r="E21" s="438">
        <f>E13+E17+E18</f>
        <v>96.63917000000004</v>
      </c>
      <c r="F21" s="133"/>
    </row>
    <row r="22" spans="1:6" ht="1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">
      <c r="A23" s="367" t="s">
        <v>612</v>
      </c>
      <c r="B23" s="132" t="s">
        <v>613</v>
      </c>
      <c r="C23" s="440">
        <f>'1-Баланс'!C55</f>
        <v>9634</v>
      </c>
      <c r="D23" s="440"/>
      <c r="E23" s="439">
        <f t="shared" si="0"/>
        <v>9634</v>
      </c>
      <c r="F23" s="133"/>
    </row>
    <row r="24" spans="1:6" ht="15.75" thickBot="1">
      <c r="A24" s="385"/>
      <c r="B24" s="368"/>
      <c r="C24" s="386"/>
      <c r="D24" s="369"/>
      <c r="E24" s="387"/>
      <c r="F24" s="133"/>
    </row>
    <row r="25" spans="1:6" ht="15">
      <c r="A25" s="376" t="s">
        <v>614</v>
      </c>
      <c r="B25" s="383"/>
      <c r="C25" s="377"/>
      <c r="D25" s="378"/>
      <c r="E25" s="379"/>
      <c r="F25" s="133"/>
    </row>
    <row r="26" spans="1:6" ht="15">
      <c r="A26" s="367" t="s">
        <v>615</v>
      </c>
      <c r="B26" s="135" t="s">
        <v>616</v>
      </c>
      <c r="C26" s="359">
        <f>SUM(C27:C29)</f>
        <v>1684</v>
      </c>
      <c r="D26" s="359">
        <f>SUM(D27:D29)</f>
        <v>1684</v>
      </c>
      <c r="E26" s="366">
        <f>SUM(E27:E29)</f>
        <v>0</v>
      </c>
      <c r="F26" s="133"/>
    </row>
    <row r="27" spans="1:6" ht="1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">
      <c r="A29" s="367" t="s">
        <v>621</v>
      </c>
      <c r="B29" s="135" t="s">
        <v>622</v>
      </c>
      <c r="C29" s="365">
        <f>'1-Баланс'!C68</f>
        <v>1684</v>
      </c>
      <c r="D29" s="365">
        <f>C29</f>
        <v>1684</v>
      </c>
      <c r="E29" s="366">
        <f t="shared" si="0"/>
        <v>0</v>
      </c>
      <c r="F29" s="133"/>
    </row>
    <row r="30" spans="1:6" ht="15">
      <c r="A30" s="367" t="s">
        <v>623</v>
      </c>
      <c r="B30" s="135" t="s">
        <v>624</v>
      </c>
      <c r="C30" s="365">
        <f>'1-Баланс'!C69</f>
        <v>41576</v>
      </c>
      <c r="D30" s="365">
        <f>C30</f>
        <v>41576</v>
      </c>
      <c r="E30" s="366">
        <f t="shared" si="0"/>
        <v>0</v>
      </c>
      <c r="F30" s="133"/>
    </row>
    <row r="31" spans="1:6" ht="1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">
      <c r="A37" s="367" t="s">
        <v>637</v>
      </c>
      <c r="B37" s="135" t="s">
        <v>638</v>
      </c>
      <c r="C37" s="365">
        <f>'1-Баланс'!C73</f>
        <v>0</v>
      </c>
      <c r="D37" s="365">
        <f>C37</f>
        <v>0</v>
      </c>
      <c r="E37" s="366">
        <f t="shared" si="0"/>
        <v>0</v>
      </c>
      <c r="F37" s="133"/>
    </row>
    <row r="38" spans="1:6" ht="1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5.75" thickBot="1">
      <c r="A45" s="388" t="s">
        <v>653</v>
      </c>
      <c r="B45" s="389" t="s">
        <v>654</v>
      </c>
      <c r="C45" s="435">
        <f>C26+C30+C31+C33+C32+C34+C35+C40</f>
        <v>43260</v>
      </c>
      <c r="D45" s="435">
        <f>D26+D30+D31+D33+D32+D34+D35+D40</f>
        <v>43260</v>
      </c>
      <c r="E45" s="436">
        <f>E26+E30+E31+E33+E32+E34+E35+E40</f>
        <v>0</v>
      </c>
      <c r="F45" s="133"/>
    </row>
    <row r="46" spans="1:6" ht="15.75" thickBot="1">
      <c r="A46" s="390" t="s">
        <v>655</v>
      </c>
      <c r="B46" s="391" t="s">
        <v>656</v>
      </c>
      <c r="C46" s="441">
        <f>C45+C23+C21+C11</f>
        <v>52990.63917</v>
      </c>
      <c r="D46" s="441">
        <f>D45+D23+D21+D11</f>
        <v>43260</v>
      </c>
      <c r="E46" s="442">
        <f>E45+E23+E21+E11</f>
        <v>9730.63917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2" t="s">
        <v>659</v>
      </c>
      <c r="E50" s="362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5.7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">
      <c r="A53" s="370" t="s">
        <v>661</v>
      </c>
      <c r="B53" s="402"/>
      <c r="C53" s="403"/>
      <c r="D53" s="403"/>
      <c r="E53" s="403"/>
      <c r="F53" s="404"/>
    </row>
    <row r="54" spans="1:6" ht="1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7" t="s">
        <v>669</v>
      </c>
      <c r="B58" s="135" t="s">
        <v>670</v>
      </c>
      <c r="C58" s="138">
        <f>C59+C61</f>
        <v>32255</v>
      </c>
      <c r="D58" s="138">
        <f>D59+D61</f>
        <v>17326</v>
      </c>
      <c r="E58" s="136">
        <f t="shared" si="1"/>
        <v>14929</v>
      </c>
      <c r="F58" s="395">
        <f>F59+F61</f>
        <v>0</v>
      </c>
    </row>
    <row r="59" spans="1:6" ht="15">
      <c r="A59" s="367" t="s">
        <v>671</v>
      </c>
      <c r="B59" s="135" t="s">
        <v>672</v>
      </c>
      <c r="C59" s="197">
        <f>ROUND('[8]loans_short_long'!$G$43/1000,0)+2</f>
        <v>32255</v>
      </c>
      <c r="D59" s="197">
        <f>ROUND('[8]loans_short_long'!$G$39/1000,0)</f>
        <v>17326</v>
      </c>
      <c r="E59" s="136">
        <f t="shared" si="1"/>
        <v>14929</v>
      </c>
      <c r="F59" s="196"/>
    </row>
    <row r="60" spans="1:6" ht="1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7" t="s">
        <v>682</v>
      </c>
      <c r="B66" s="135" t="s">
        <v>683</v>
      </c>
      <c r="C66" s="197">
        <f>'1-Баланс'!G49+'[8]BS_KPMG'!$W$37+'[8]BS_KPMG'!$W$45</f>
        <v>10333</v>
      </c>
      <c r="D66" s="197">
        <f>D67</f>
        <v>952</v>
      </c>
      <c r="E66" s="136">
        <f t="shared" si="1"/>
        <v>9381</v>
      </c>
      <c r="F66" s="196"/>
    </row>
    <row r="67" spans="1:6" ht="15">
      <c r="A67" s="367" t="s">
        <v>684</v>
      </c>
      <c r="B67" s="135" t="s">
        <v>685</v>
      </c>
      <c r="C67" s="197">
        <f>'[8]BS_KPMG'!$W$37+'[8]BS_KPMG'!$W$45</f>
        <v>1977</v>
      </c>
      <c r="D67" s="197">
        <f>'[8]BS_KPMG'!$W$45</f>
        <v>952</v>
      </c>
      <c r="E67" s="136">
        <f t="shared" si="1"/>
        <v>1025</v>
      </c>
      <c r="F67" s="196"/>
    </row>
    <row r="68" spans="1:6" ht="15.75" thickBot="1">
      <c r="A68" s="381" t="s">
        <v>686</v>
      </c>
      <c r="B68" s="382" t="s">
        <v>687</v>
      </c>
      <c r="C68" s="432">
        <f>C54+C58+C63+C64+C65+C66</f>
        <v>42588</v>
      </c>
      <c r="D68" s="432">
        <f>D54+D58+D63+D64+D65+D66</f>
        <v>18278</v>
      </c>
      <c r="E68" s="433">
        <f t="shared" si="1"/>
        <v>24310</v>
      </c>
      <c r="F68" s="434">
        <f>F54+F58+F63+F64+F65+F66</f>
        <v>0</v>
      </c>
    </row>
    <row r="69" spans="1:6" ht="15">
      <c r="A69" s="376" t="s">
        <v>688</v>
      </c>
      <c r="B69" s="129"/>
      <c r="C69" s="399"/>
      <c r="D69" s="399"/>
      <c r="E69" s="400"/>
      <c r="F69" s="401"/>
    </row>
    <row r="70" spans="1:6" ht="1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5"/>
      <c r="B71" s="126"/>
      <c r="C71" s="406"/>
      <c r="D71" s="406"/>
      <c r="E71" s="407"/>
      <c r="F71" s="408"/>
    </row>
    <row r="72" spans="1:6" ht="15">
      <c r="A72" s="370" t="s">
        <v>691</v>
      </c>
      <c r="B72" s="402"/>
      <c r="C72" s="411"/>
      <c r="D72" s="411"/>
      <c r="E72" s="412"/>
      <c r="F72" s="413"/>
    </row>
    <row r="73" spans="1:6" ht="15">
      <c r="A73" s="367" t="s">
        <v>662</v>
      </c>
      <c r="B73" s="135" t="s">
        <v>692</v>
      </c>
      <c r="C73" s="137">
        <f>SUM(C74:C76)</f>
        <v>4527</v>
      </c>
      <c r="D73" s="137">
        <f>SUM(D74:D76)</f>
        <v>4527</v>
      </c>
      <c r="E73" s="137">
        <f>SUM(E74:E76)</f>
        <v>0</v>
      </c>
      <c r="F73" s="397">
        <f>SUM(F74:F76)</f>
        <v>0</v>
      </c>
    </row>
    <row r="74" spans="1:6" ht="1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8" t="s">
        <v>697</v>
      </c>
      <c r="B76" s="135" t="s">
        <v>698</v>
      </c>
      <c r="C76" s="197">
        <f>'1-Баланс'!G62</f>
        <v>4527</v>
      </c>
      <c r="D76" s="197">
        <f>C76</f>
        <v>4527</v>
      </c>
      <c r="E76" s="136">
        <f t="shared" si="1"/>
        <v>0</v>
      </c>
      <c r="F76" s="196"/>
    </row>
    <row r="77" spans="1:6" ht="30.7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7" t="s">
        <v>717</v>
      </c>
      <c r="B87" s="135" t="s">
        <v>718</v>
      </c>
      <c r="C87" s="134">
        <f>SUM(C88:C92)+C96</f>
        <v>30946</v>
      </c>
      <c r="D87" s="134">
        <f>SUM(D88:D92)+D96</f>
        <v>30946</v>
      </c>
      <c r="E87" s="134">
        <f>SUM(E88:E92)+E96</f>
        <v>0</v>
      </c>
      <c r="F87" s="394">
        <f>SUM(F88:F92)+F96</f>
        <v>0</v>
      </c>
    </row>
    <row r="88" spans="1:6" ht="1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7" t="s">
        <v>721</v>
      </c>
      <c r="B89" s="135" t="s">
        <v>722</v>
      </c>
      <c r="C89" s="197">
        <f>'1-Баланс'!G64</f>
        <v>21558</v>
      </c>
      <c r="D89" s="197">
        <f>C89</f>
        <v>21558</v>
      </c>
      <c r="E89" s="136">
        <f t="shared" si="1"/>
        <v>0</v>
      </c>
      <c r="F89" s="196"/>
    </row>
    <row r="90" spans="1:6" ht="1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7" t="s">
        <v>725</v>
      </c>
      <c r="B91" s="135" t="s">
        <v>726</v>
      </c>
      <c r="C91" s="197">
        <f>'1-Баланс'!G66</f>
        <v>4841</v>
      </c>
      <c r="D91" s="197">
        <f>C91</f>
        <v>4841</v>
      </c>
      <c r="E91" s="136">
        <f t="shared" si="1"/>
        <v>0</v>
      </c>
      <c r="F91" s="196"/>
    </row>
    <row r="92" spans="1:6" ht="15">
      <c r="A92" s="367" t="s">
        <v>727</v>
      </c>
      <c r="B92" s="135" t="s">
        <v>728</v>
      </c>
      <c r="C92" s="138">
        <f>SUM(C93:C95)</f>
        <v>3620</v>
      </c>
      <c r="D92" s="138">
        <f>SUM(D93:D95)</f>
        <v>3620</v>
      </c>
      <c r="E92" s="138">
        <f>SUM(E93:E95)</f>
        <v>0</v>
      </c>
      <c r="F92" s="395">
        <f>SUM(F93:F95)</f>
        <v>0</v>
      </c>
    </row>
    <row r="93" spans="1:6" ht="15">
      <c r="A93" s="367" t="s">
        <v>729</v>
      </c>
      <c r="B93" s="135" t="s">
        <v>730</v>
      </c>
      <c r="C93" s="197">
        <f>ROUND('[8]BS_KPMG'!$W$48,0)</f>
        <v>1101</v>
      </c>
      <c r="D93" s="197">
        <f>C93</f>
        <v>1101</v>
      </c>
      <c r="E93" s="136">
        <f t="shared" si="1"/>
        <v>0</v>
      </c>
      <c r="F93" s="196"/>
    </row>
    <row r="94" spans="1:6" ht="15">
      <c r="A94" s="367" t="s">
        <v>637</v>
      </c>
      <c r="B94" s="135" t="s">
        <v>731</v>
      </c>
      <c r="C94" s="197">
        <f>ROUND('[8]NoteBS'!$E$65,0)</f>
        <v>2233</v>
      </c>
      <c r="D94" s="197">
        <f>C94</f>
        <v>2233</v>
      </c>
      <c r="E94" s="136">
        <f t="shared" si="1"/>
        <v>0</v>
      </c>
      <c r="F94" s="196"/>
    </row>
    <row r="95" spans="1:6" ht="15">
      <c r="A95" s="367" t="s">
        <v>641</v>
      </c>
      <c r="B95" s="135" t="s">
        <v>732</v>
      </c>
      <c r="C95" s="197">
        <f>ROUND('[8]NoteBS'!$E$66,0)</f>
        <v>286</v>
      </c>
      <c r="D95" s="197">
        <f>C95</f>
        <v>286</v>
      </c>
      <c r="E95" s="136">
        <f t="shared" si="1"/>
        <v>0</v>
      </c>
      <c r="F95" s="196"/>
    </row>
    <row r="96" spans="1:6" ht="15">
      <c r="A96" s="367" t="s">
        <v>733</v>
      </c>
      <c r="B96" s="135" t="s">
        <v>734</v>
      </c>
      <c r="C96" s="197">
        <f>'1-Баланс'!G67</f>
        <v>927</v>
      </c>
      <c r="D96" s="197">
        <f>C96</f>
        <v>927</v>
      </c>
      <c r="E96" s="136">
        <f t="shared" si="1"/>
        <v>0</v>
      </c>
      <c r="F96" s="196"/>
    </row>
    <row r="97" spans="1:6" ht="15">
      <c r="A97" s="367" t="s">
        <v>735</v>
      </c>
      <c r="B97" s="135" t="s">
        <v>736</v>
      </c>
      <c r="C97" s="197">
        <f>'1-Баланс'!G69</f>
        <v>4133</v>
      </c>
      <c r="D97" s="197">
        <f>C97</f>
        <v>4133</v>
      </c>
      <c r="E97" s="136">
        <f t="shared" si="1"/>
        <v>0</v>
      </c>
      <c r="F97" s="196"/>
    </row>
    <row r="98" spans="1:6" ht="15.75" thickBot="1">
      <c r="A98" s="381" t="s">
        <v>737</v>
      </c>
      <c r="B98" s="382" t="s">
        <v>738</v>
      </c>
      <c r="C98" s="430">
        <f>C87+C82+C77+C73+C97</f>
        <v>39606</v>
      </c>
      <c r="D98" s="430">
        <f>D87+D82+D77+D73+D97</f>
        <v>39606</v>
      </c>
      <c r="E98" s="430">
        <f>E87+E82+E77+E73+E97</f>
        <v>0</v>
      </c>
      <c r="F98" s="431">
        <f>F87+F82+F77+F73+F97</f>
        <v>0</v>
      </c>
    </row>
    <row r="99" spans="1:6" ht="15.75" thickBot="1">
      <c r="A99" s="409" t="s">
        <v>739</v>
      </c>
      <c r="B99" s="410" t="s">
        <v>740</v>
      </c>
      <c r="C99" s="424">
        <f>C98+C70+C68</f>
        <v>82194</v>
      </c>
      <c r="D99" s="424">
        <f>D98+D70+D68</f>
        <v>57884</v>
      </c>
      <c r="E99" s="424">
        <f>E98+E70+E68</f>
        <v>24310</v>
      </c>
      <c r="F99" s="425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5.7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">
      <c r="A104" s="416" t="s">
        <v>746</v>
      </c>
      <c r="B104" s="417" t="s">
        <v>747</v>
      </c>
      <c r="C104" s="216">
        <f>ROUND('[8]NoteBS'!$C$108+'[8]NoteBS'!$C$107,0)</f>
        <v>1483</v>
      </c>
      <c r="D104" s="216">
        <f>ROUND('[8]NoteBS'!$D$108,0)</f>
        <v>42</v>
      </c>
      <c r="E104" s="216">
        <f>ROUND(-'[8]NoteBS'!$E$108-'[8]NoteBS'!$F$108,0)</f>
        <v>68</v>
      </c>
      <c r="F104" s="418">
        <f>C104+D104-E104</f>
        <v>1457</v>
      </c>
    </row>
    <row r="105" spans="1:6" ht="1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5.75" thickBot="1">
      <c r="A106" s="385" t="s">
        <v>750</v>
      </c>
      <c r="B106" s="419" t="s">
        <v>751</v>
      </c>
      <c r="C106" s="280">
        <f>'[8]NoteBS'!$C$109</f>
        <v>1089</v>
      </c>
      <c r="D106" s="280">
        <f>ROUND('[8]NoteBS'!$D$109,0)</f>
        <v>0</v>
      </c>
      <c r="E106" s="280">
        <f>ROUND(-'[3]FInst, loans'!$C$200,0)</f>
        <v>0</v>
      </c>
      <c r="F106" s="420">
        <f>C106+D106-E106</f>
        <v>1089</v>
      </c>
    </row>
    <row r="107" spans="1:6" ht="15.75" thickBot="1">
      <c r="A107" s="415" t="s">
        <v>752</v>
      </c>
      <c r="B107" s="421" t="s">
        <v>753</v>
      </c>
      <c r="C107" s="422">
        <f>SUM(C104:C106)</f>
        <v>2572</v>
      </c>
      <c r="D107" s="422">
        <f>SUM(D104:D106)</f>
        <v>42</v>
      </c>
      <c r="E107" s="422">
        <f>SUM(E104:E106)</f>
        <v>68</v>
      </c>
      <c r="F107" s="423">
        <f>SUM(F104:F106)</f>
        <v>2546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10">
        <f>pdeReportingDate</f>
        <v>44042</v>
      </c>
      <c r="C111" s="710"/>
      <c r="D111" s="710"/>
      <c r="E111" s="710"/>
      <c r="F111" s="710"/>
      <c r="G111" s="52"/>
      <c r="H111" s="52"/>
    </row>
    <row r="112" spans="1:8" ht="15">
      <c r="A112" s="691"/>
      <c r="B112" s="710"/>
      <c r="C112" s="710"/>
      <c r="D112" s="710"/>
      <c r="E112" s="710"/>
      <c r="F112" s="710"/>
      <c r="G112" s="52"/>
      <c r="H112" s="52"/>
    </row>
    <row r="113" spans="1:8" ht="15">
      <c r="A113" s="692" t="s">
        <v>8</v>
      </c>
      <c r="B113" s="711" t="str">
        <f>authorName</f>
        <v>Анелия Илиева Илиева</v>
      </c>
      <c r="C113" s="711"/>
      <c r="D113" s="711"/>
      <c r="E113" s="711"/>
      <c r="F113" s="711"/>
      <c r="G113" s="80"/>
      <c r="H113" s="80"/>
    </row>
    <row r="114" spans="1:8" ht="15">
      <c r="A114" s="692"/>
      <c r="B114" s="711"/>
      <c r="C114" s="711"/>
      <c r="D114" s="711"/>
      <c r="E114" s="711"/>
      <c r="F114" s="711"/>
      <c r="G114" s="80"/>
      <c r="H114" s="80"/>
    </row>
    <row r="115" spans="1:8" ht="15">
      <c r="A115" s="692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3"/>
      <c r="B116" s="709" t="str">
        <f>'Справка 6'!C50</f>
        <v>Васил Борисов Тренев</v>
      </c>
      <c r="C116" s="709"/>
      <c r="D116" s="709"/>
      <c r="E116" s="709"/>
      <c r="F116" s="709"/>
      <c r="G116" s="693"/>
      <c r="H116" s="693"/>
    </row>
    <row r="117" spans="1:8" ht="15.75" customHeight="1">
      <c r="A117" s="693"/>
      <c r="B117" s="709" t="s">
        <v>979</v>
      </c>
      <c r="C117" s="709"/>
      <c r="D117" s="709"/>
      <c r="E117" s="709"/>
      <c r="F117" s="709"/>
      <c r="G117" s="693"/>
      <c r="H117" s="693"/>
    </row>
    <row r="118" spans="1:8" ht="15.75" customHeight="1">
      <c r="A118" s="693"/>
      <c r="B118" s="737"/>
      <c r="C118" s="709"/>
      <c r="D118" s="709"/>
      <c r="E118" s="709"/>
      <c r="F118" s="709"/>
      <c r="G118" s="693"/>
      <c r="H118" s="693"/>
    </row>
    <row r="119" spans="1:8" ht="15.75" customHeight="1">
      <c r="A119" s="693"/>
      <c r="B119" s="737">
        <f>F107+C99</f>
        <v>84740</v>
      </c>
      <c r="C119" s="709"/>
      <c r="D119" s="709"/>
      <c r="E119" s="709"/>
      <c r="F119" s="709"/>
      <c r="G119" s="693"/>
      <c r="H119" s="693"/>
    </row>
    <row r="120" spans="1:8" ht="15">
      <c r="A120" s="693"/>
      <c r="B120" s="737">
        <f>'1-Баланс'!G56+'1-Баланс'!G79</f>
        <v>84740</v>
      </c>
      <c r="C120" s="709"/>
      <c r="D120" s="709"/>
      <c r="E120" s="709"/>
      <c r="F120" s="709"/>
      <c r="G120" s="693"/>
      <c r="H120" s="693"/>
    </row>
    <row r="121" spans="1:8" ht="15">
      <c r="A121" s="693"/>
      <c r="B121" s="737">
        <f>B119-B120</f>
        <v>0</v>
      </c>
      <c r="C121" s="709"/>
      <c r="D121" s="709"/>
      <c r="E121" s="709"/>
      <c r="F121" s="709"/>
      <c r="G121" s="693"/>
      <c r="H121" s="693"/>
    </row>
    <row r="122" spans="1:8" ht="15">
      <c r="A122" s="693"/>
      <c r="B122" s="709"/>
      <c r="C122" s="709"/>
      <c r="D122" s="709"/>
      <c r="E122" s="709"/>
      <c r="F122" s="709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9" t="s">
        <v>453</v>
      </c>
      <c r="B8" s="754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50"/>
      <c r="B9" s="755"/>
      <c r="C9" s="752" t="s">
        <v>756</v>
      </c>
      <c r="D9" s="752" t="s">
        <v>757</v>
      </c>
      <c r="E9" s="752" t="s">
        <v>758</v>
      </c>
      <c r="F9" s="752" t="s">
        <v>759</v>
      </c>
      <c r="G9" s="113" t="s">
        <v>760</v>
      </c>
      <c r="H9" s="113"/>
      <c r="I9" s="753" t="s">
        <v>842</v>
      </c>
    </row>
    <row r="10" spans="1:9" s="112" customFormat="1" ht="24" customHeight="1">
      <c r="A10" s="750"/>
      <c r="B10" s="755"/>
      <c r="C10" s="752"/>
      <c r="D10" s="752"/>
      <c r="E10" s="752"/>
      <c r="F10" s="752"/>
      <c r="G10" s="115" t="s">
        <v>516</v>
      </c>
      <c r="H10" s="115" t="s">
        <v>517</v>
      </c>
      <c r="I10" s="753"/>
    </row>
    <row r="11" spans="1:9" s="116" customFormat="1" ht="15.7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5.7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9" s="116" customFormat="1" ht="1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">
      <c r="A31" s="691" t="s">
        <v>977</v>
      </c>
      <c r="B31" s="710">
        <f>pdeReportingDate</f>
        <v>44042</v>
      </c>
      <c r="C31" s="710"/>
      <c r="D31" s="710"/>
      <c r="E31" s="710"/>
      <c r="F31" s="710"/>
      <c r="G31" s="124"/>
      <c r="H31" s="124"/>
      <c r="I31" s="124"/>
    </row>
    <row r="32" spans="1:9" s="116" customFormat="1" ht="15">
      <c r="A32" s="691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">
      <c r="A33" s="692" t="s">
        <v>8</v>
      </c>
      <c r="B33" s="711" t="str">
        <f>authorName</f>
        <v>Анелия Илиева Илиева</v>
      </c>
      <c r="C33" s="711"/>
      <c r="D33" s="711"/>
      <c r="E33" s="711"/>
      <c r="F33" s="711"/>
      <c r="G33" s="124"/>
      <c r="H33" s="124"/>
      <c r="I33" s="124"/>
    </row>
    <row r="34" spans="1:9" s="116" customFormat="1" ht="15">
      <c r="A34" s="692"/>
      <c r="B34" s="756"/>
      <c r="C34" s="756"/>
      <c r="D34" s="756"/>
      <c r="E34" s="756"/>
      <c r="F34" s="756"/>
      <c r="G34" s="756"/>
      <c r="H34" s="756"/>
      <c r="I34" s="756"/>
    </row>
    <row r="35" spans="1:9" s="116" customFormat="1" ht="15">
      <c r="A35" s="692" t="s">
        <v>920</v>
      </c>
      <c r="B35" s="757"/>
      <c r="C35" s="757"/>
      <c r="D35" s="757"/>
      <c r="E35" s="757"/>
      <c r="F35" s="757"/>
      <c r="G35" s="757"/>
      <c r="H35" s="757"/>
      <c r="I35" s="757"/>
    </row>
    <row r="36" spans="1:9" s="116" customFormat="1" ht="15.75" customHeight="1">
      <c r="A36" s="693"/>
      <c r="B36" s="709" t="str">
        <f>'Справка 7'!B116:F116</f>
        <v>Васил Борисов Тренев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3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3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3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">
      <c r="A40" s="693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">
      <c r="A41" s="693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">
      <c r="A42" s="693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2020-07-28T15:32:21Z</dcterms:modified>
  <cp:category/>
  <cp:version/>
  <cp:contentType/>
  <cp:contentStatus/>
</cp:coreProperties>
</file>